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Mst-fs-4a\ska$\Finants - ja varahalduse üksus\Raamatupidamine\SKA_projektid\1_MarilinO\9T30-MU00-IRESTORE 2.0 - 30.09.2024 lõpp\1_MT aruanded\"/>
    </mc:Choice>
  </mc:AlternateContent>
  <xr:revisionPtr revIDLastSave="0" documentId="13_ncr:1_{38B4B364-ECD5-4119-A658-2D390F9CEBED}" xr6:coauthVersionLast="47" xr6:coauthVersionMax="47" xr10:uidLastSave="{00000000-0000-0000-0000-000000000000}"/>
  <bookViews>
    <workbookView xWindow="22932" yWindow="-1368" windowWidth="30936" windowHeight="16776" tabRatio="746" activeTab="2" xr2:uid="{00000000-000D-0000-FFFF-FFFF00000000}"/>
  </bookViews>
  <sheets>
    <sheet name="EA005-RMP" sheetId="9" r:id="rId1"/>
    <sheet name="Koond" sheetId="11" r:id="rId2"/>
    <sheet name="MT01-MT08 kokku" sheetId="10" r:id="rId3"/>
    <sheet name="R8_Nov-Dec24" sheetId="7" r:id="rId4"/>
    <sheet name="R7_Jul-Oct24" sheetId="8" r:id="rId5"/>
    <sheet name="R6_Jan-Jun24" sheetId="6" r:id="rId6"/>
    <sheet name="R5_Oct-Dec23" sheetId="5" r:id="rId7"/>
    <sheet name="R4_Jul-Sept23" sheetId="4" r:id="rId8"/>
    <sheet name="R3_Apr-Jun23" sheetId="3" r:id="rId9"/>
    <sheet name="R2_Jan-Mar23" sheetId="2" r:id="rId10"/>
    <sheet name="R1_Oct-Dec22" sheetId="1" r:id="rId11"/>
  </sheets>
  <definedNames>
    <definedName name="_xlnm._FilterDatabase" localSheetId="2" hidden="1">'MT01-MT08 kokku'!$A$2:$P$109</definedName>
    <definedName name="_xlnm._FilterDatabase" localSheetId="10" hidden="1">'R1_Oct-Dec22'!$B$5:$M$8</definedName>
    <definedName name="_lb1">15</definedName>
    <definedName name="_lb10">135</definedName>
    <definedName name="_lb11">140</definedName>
    <definedName name="_lb12">144</definedName>
    <definedName name="_lb13">147</definedName>
    <definedName name="_lb14">153</definedName>
    <definedName name="_lb15">156</definedName>
    <definedName name="_lb16">162</definedName>
    <definedName name="_lb17">169</definedName>
    <definedName name="_lb2">27</definedName>
    <definedName name="_lb3">38</definedName>
    <definedName name="_lb4">49</definedName>
    <definedName name="_lb5">58</definedName>
    <definedName name="_lb6">73</definedName>
    <definedName name="_lb7">105</definedName>
    <definedName name="_lb8">119</definedName>
    <definedName name="_lb9">127</definedName>
    <definedName name="_lh1">5</definedName>
    <definedName name="_lh10">129</definedName>
    <definedName name="_lh11">137</definedName>
    <definedName name="_lh12">142</definedName>
    <definedName name="_lh13">146</definedName>
    <definedName name="_lh14">149</definedName>
    <definedName name="_lh15">155</definedName>
    <definedName name="_lh16">158</definedName>
    <definedName name="_lh17">164</definedName>
    <definedName name="_lh2">17</definedName>
    <definedName name="_lh3">29</definedName>
    <definedName name="_lh4">40</definedName>
    <definedName name="_lh5">51</definedName>
    <definedName name="_lh6">60</definedName>
    <definedName name="_lh7">75</definedName>
    <definedName name="_lh8">114</definedName>
    <definedName name="_lh9">121</definedName>
    <definedName name="Anneec">1</definedName>
    <definedName name="Anneel">1</definedName>
    <definedName name="Cellrefc">5</definedName>
    <definedName name="Cellrefl">5</definedName>
    <definedName name="change">"Zone combinée 4"</definedName>
    <definedName name="Codec">9</definedName>
    <definedName name="Codel">1</definedName>
    <definedName name="Coursc">9</definedName>
    <definedName name="Coursl">2</definedName>
    <definedName name="creer">"Bouton 2"</definedName>
    <definedName name="Depenses">108</definedName>
    <definedName name="Depensesh">5</definedName>
    <definedName name="fleche">"Trait 5"</definedName>
    <definedName name="_xlnm.Criteria" localSheetId="10">'R1_Oct-Dec22'!#REF!</definedName>
    <definedName name="Liste_langue">"Zone combinée 1"</definedName>
    <definedName name="monnaie">"Zone combinée 3"</definedName>
    <definedName name="Monnaiec">8</definedName>
    <definedName name="Monnaiel">4</definedName>
    <definedName name="Nbredefrecette">3</definedName>
    <definedName name="nbreparanature">17</definedName>
    <definedName name="nbreparanaturedepa">7</definedName>
    <definedName name="nbreparanaturerecd">8</definedName>
    <definedName name="Paysc">2</definedName>
    <definedName name="Paysl">2</definedName>
    <definedName name="_xlnm.Print_Area" localSheetId="10">'R1_Oct-Dec22'!$A$1:$M$15</definedName>
    <definedName name="_xlnm.Print_Titles" localSheetId="10">'R1_Oct-Dec22'!$1:$3</definedName>
    <definedName name="Progc">2</definedName>
    <definedName name="Progl">3</definedName>
    <definedName name="Recettes">172</definedName>
    <definedName name="Recettesh">114</definedName>
    <definedName name="_xlnm.Recorder">#REF!</definedName>
    <definedName name="Zimpc">5</definedName>
    <definedName name="Zimpca">10</definedName>
    <definedName name="Zimpl">5</definedName>
    <definedName name="Zimpla">175</definedName>
    <definedName name="Ztitrelb">4</definedName>
    <definedName name="Ztitrelh">1</definedName>
    <definedName name="Titretotdeprec">3</definedName>
  </definedNames>
  <calcPr calcId="191028"/>
  <pivotCaches>
    <pivotCache cacheId="0" r:id="rId1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7" i="10" l="1"/>
  <c r="N131" i="10"/>
  <c r="M128" i="10"/>
  <c r="N110" i="10" s="1"/>
  <c r="N111" i="10" s="1"/>
  <c r="M119" i="10"/>
  <c r="N130" i="10" s="1"/>
  <c r="J7" i="10"/>
  <c r="M7" i="10" s="1"/>
  <c r="J18" i="10"/>
  <c r="J47" i="10"/>
  <c r="J64" i="10"/>
  <c r="J90" i="10"/>
  <c r="J99" i="10"/>
  <c r="J107" i="10"/>
  <c r="L117" i="10"/>
  <c r="L118" i="10" s="1"/>
  <c r="L119" i="10" s="1"/>
  <c r="Q7" i="10" l="1"/>
  <c r="Q18" i="10"/>
  <c r="Q37" i="10"/>
  <c r="Q47" i="10"/>
  <c r="Q64" i="10"/>
  <c r="Q90" i="10"/>
  <c r="Q99" i="10"/>
  <c r="Q107" i="10"/>
  <c r="Q108" i="10" s="1"/>
  <c r="E16" i="9" l="1"/>
  <c r="E17" i="9"/>
  <c r="E15" i="9"/>
  <c r="M107" i="10"/>
  <c r="M106" i="10"/>
  <c r="M105" i="10"/>
  <c r="M104" i="10"/>
  <c r="M103" i="10"/>
  <c r="M102" i="10"/>
  <c r="M101" i="10"/>
  <c r="M100" i="10"/>
  <c r="M99" i="10"/>
  <c r="M98" i="10"/>
  <c r="M97" i="10"/>
  <c r="M96" i="10"/>
  <c r="M95" i="10"/>
  <c r="M94" i="10"/>
  <c r="M93" i="10"/>
  <c r="M92" i="10"/>
  <c r="M91" i="10"/>
  <c r="M90" i="10"/>
  <c r="M89" i="10"/>
  <c r="M88" i="10"/>
  <c r="M87" i="10"/>
  <c r="M86" i="10"/>
  <c r="M85" i="10"/>
  <c r="M84" i="10"/>
  <c r="M83" i="10"/>
  <c r="M82" i="10"/>
  <c r="M81" i="10"/>
  <c r="M80" i="10"/>
  <c r="M79" i="10"/>
  <c r="M78" i="10"/>
  <c r="M77" i="10"/>
  <c r="M76" i="10"/>
  <c r="M75" i="10"/>
  <c r="M74" i="10"/>
  <c r="M73" i="10"/>
  <c r="M72" i="10"/>
  <c r="M71" i="10"/>
  <c r="M70" i="10"/>
  <c r="M69" i="10"/>
  <c r="M68" i="10"/>
  <c r="M67" i="10"/>
  <c r="M66" i="10"/>
  <c r="M65" i="10"/>
  <c r="M64" i="10"/>
  <c r="M63" i="10"/>
  <c r="M62" i="10"/>
  <c r="M61" i="10"/>
  <c r="M60" i="10"/>
  <c r="M59" i="10"/>
  <c r="M58" i="10"/>
  <c r="M57" i="10"/>
  <c r="M56" i="10"/>
  <c r="M55" i="10"/>
  <c r="M54" i="10"/>
  <c r="M53" i="10"/>
  <c r="M52" i="10"/>
  <c r="M51" i="10"/>
  <c r="M50" i="10"/>
  <c r="M49" i="10"/>
  <c r="M48" i="10"/>
  <c r="M36" i="10"/>
  <c r="J35" i="10"/>
  <c r="M35" i="10" s="1"/>
  <c r="J34" i="10"/>
  <c r="M34" i="10" s="1"/>
  <c r="J33" i="10"/>
  <c r="M33" i="10" s="1"/>
  <c r="M32" i="10"/>
  <c r="J31" i="10"/>
  <c r="M31" i="10" s="1"/>
  <c r="M30" i="10"/>
  <c r="J29" i="10"/>
  <c r="M29" i="10" s="1"/>
  <c r="J28" i="10"/>
  <c r="M28" i="10" s="1"/>
  <c r="J27" i="10"/>
  <c r="M27" i="10" s="1"/>
  <c r="J26" i="10"/>
  <c r="M26" i="10" s="1"/>
  <c r="J25" i="10"/>
  <c r="M25" i="10" s="1"/>
  <c r="M24" i="10"/>
  <c r="J23" i="10"/>
  <c r="M23" i="10" s="1"/>
  <c r="J22" i="10"/>
  <c r="M22" i="10" s="1"/>
  <c r="J21" i="10"/>
  <c r="M21" i="10" s="1"/>
  <c r="J20" i="10"/>
  <c r="M20" i="10" s="1"/>
  <c r="J19" i="10"/>
  <c r="L24" i="3"/>
  <c r="M22" i="3"/>
  <c r="M21" i="3"/>
  <c r="J21" i="3"/>
  <c r="J20" i="3"/>
  <c r="M20" i="3" s="1"/>
  <c r="J19" i="3"/>
  <c r="M19" i="3" s="1"/>
  <c r="M18" i="3"/>
  <c r="J17" i="3"/>
  <c r="M17" i="3" s="1"/>
  <c r="M16" i="3"/>
  <c r="J15" i="3"/>
  <c r="M15" i="3" s="1"/>
  <c r="M14" i="3"/>
  <c r="J14" i="3"/>
  <c r="J13" i="3"/>
  <c r="M13" i="3" s="1"/>
  <c r="J12" i="3"/>
  <c r="M12" i="3" s="1"/>
  <c r="J11" i="3"/>
  <c r="M11" i="3" s="1"/>
  <c r="M10" i="3"/>
  <c r="J9" i="3"/>
  <c r="M9" i="3" s="1"/>
  <c r="J8" i="3"/>
  <c r="J23" i="3" s="1"/>
  <c r="M23" i="3" s="1"/>
  <c r="M7" i="3"/>
  <c r="J7" i="3"/>
  <c r="J6" i="3"/>
  <c r="M6" i="3" s="1"/>
  <c r="J5" i="3"/>
  <c r="M5" i="3" s="1"/>
  <c r="L4" i="3"/>
  <c r="M19" i="10" l="1"/>
  <c r="J37" i="10"/>
  <c r="M37" i="10" s="1"/>
  <c r="P37" i="10" s="1"/>
  <c r="P107" i="10"/>
  <c r="P90" i="10"/>
  <c r="P99" i="10"/>
  <c r="P64" i="10"/>
  <c r="M24" i="3"/>
  <c r="L25" i="3" s="1"/>
  <c r="L26" i="3" s="1"/>
  <c r="M8" i="3"/>
  <c r="M25" i="3" l="1"/>
  <c r="M26" i="3" s="1"/>
  <c r="M47" i="10" l="1"/>
  <c r="M46" i="10"/>
  <c r="M45" i="10"/>
  <c r="M44" i="10"/>
  <c r="M43" i="10"/>
  <c r="M42" i="10"/>
  <c r="M41" i="10"/>
  <c r="M40" i="10"/>
  <c r="M39" i="10"/>
  <c r="M38" i="10"/>
  <c r="P47" i="10" l="1"/>
  <c r="M18" i="10"/>
  <c r="M17" i="10"/>
  <c r="M16" i="10"/>
  <c r="M15" i="10"/>
  <c r="M14" i="10"/>
  <c r="M13" i="10"/>
  <c r="M12" i="10"/>
  <c r="M11" i="10"/>
  <c r="M10" i="10"/>
  <c r="M9" i="10"/>
  <c r="M8" i="10"/>
  <c r="P18" i="10" l="1"/>
  <c r="M6" i="10"/>
  <c r="M5" i="10"/>
  <c r="M4" i="10"/>
  <c r="L3" i="10"/>
  <c r="M1" i="10" l="1"/>
  <c r="M108" i="10"/>
  <c r="M109" i="10" s="1"/>
  <c r="P7" i="10"/>
  <c r="P108" i="10" s="1"/>
  <c r="H9" i="9"/>
  <c r="H12" i="9" s="1"/>
  <c r="E33" i="9" l="1"/>
  <c r="E37" i="9"/>
  <c r="E38" i="9" s="1"/>
  <c r="E32" i="9"/>
  <c r="E29" i="9"/>
  <c r="E24" i="9"/>
  <c r="E23" i="9"/>
  <c r="E20" i="9"/>
  <c r="E19" i="9"/>
  <c r="E12" i="9"/>
  <c r="E11" i="9"/>
  <c r="E9" i="9"/>
  <c r="E10" i="9" s="1"/>
  <c r="E6" i="9"/>
  <c r="I9" i="9"/>
  <c r="J12" i="7"/>
  <c r="M12" i="7" s="1"/>
  <c r="M11" i="7"/>
  <c r="M10" i="7"/>
  <c r="M9" i="7"/>
  <c r="M8" i="7"/>
  <c r="M7" i="7"/>
  <c r="M6" i="7"/>
  <c r="M5" i="7"/>
  <c r="L4" i="7"/>
  <c r="L13" i="7" s="1"/>
  <c r="E25" i="9" l="1"/>
  <c r="E26" i="9" s="1"/>
  <c r="E22" i="9"/>
  <c r="E13" i="9"/>
  <c r="E14" i="9" s="1"/>
  <c r="E34" i="9"/>
  <c r="E35" i="9" s="1"/>
  <c r="E39" i="9"/>
  <c r="E7" i="9"/>
  <c r="E8" i="9" s="1"/>
  <c r="E30" i="9"/>
  <c r="E31" i="9" s="1"/>
  <c r="E18" i="9"/>
  <c r="E40" i="9" s="1"/>
  <c r="M13" i="7"/>
  <c r="L14" i="7" s="1"/>
  <c r="L15" i="7" s="1"/>
  <c r="H15" i="9" l="1"/>
  <c r="H16" i="9" s="1"/>
  <c r="E27" i="9"/>
  <c r="B27" i="9" s="1"/>
  <c r="B14" i="9"/>
  <c r="B8" i="9"/>
  <c r="B40" i="9"/>
  <c r="H40" i="9" s="1"/>
  <c r="B18" i="9"/>
  <c r="B22" i="9" s="1"/>
  <c r="M14" i="7"/>
  <c r="M15" i="7" s="1"/>
  <c r="M25" i="8" l="1"/>
  <c r="J25" i="8"/>
  <c r="M14" i="8"/>
  <c r="L14" i="8"/>
  <c r="J13" i="8"/>
  <c r="M13" i="8" s="1"/>
  <c r="M12" i="8"/>
  <c r="M11" i="8"/>
  <c r="M10" i="8"/>
  <c r="M9" i="8"/>
  <c r="M8" i="8"/>
  <c r="M7" i="8"/>
  <c r="M6" i="8"/>
  <c r="M5" i="8"/>
  <c r="L4" i="8"/>
  <c r="M15" i="8" l="1"/>
  <c r="M16" i="8" s="1"/>
  <c r="L15" i="8"/>
  <c r="L16" i="8" s="1"/>
  <c r="J43" i="6" l="1"/>
  <c r="M43" i="6"/>
  <c r="J30" i="6"/>
  <c r="M30" i="6" s="1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31" i="6" s="1"/>
  <c r="L4" i="6"/>
  <c r="L31" i="6" s="1"/>
  <c r="L32" i="6" l="1"/>
  <c r="L33" i="6" s="1"/>
  <c r="M32" i="6"/>
  <c r="M33" i="6" s="1"/>
  <c r="J21" i="5" l="1"/>
  <c r="M21" i="5" s="1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22" i="5" s="1"/>
  <c r="I4" i="5"/>
  <c r="L4" i="5" s="1"/>
  <c r="L22" i="5" s="1"/>
  <c r="J14" i="4"/>
  <c r="M14" i="4" s="1"/>
  <c r="M13" i="4"/>
  <c r="M12" i="4"/>
  <c r="M11" i="4"/>
  <c r="M10" i="4"/>
  <c r="M9" i="4"/>
  <c r="M8" i="4"/>
  <c r="M7" i="4"/>
  <c r="M6" i="4"/>
  <c r="M5" i="4"/>
  <c r="I4" i="4"/>
  <c r="L4" i="4" s="1"/>
  <c r="L15" i="4" s="1"/>
  <c r="L16" i="2"/>
  <c r="M15" i="2"/>
  <c r="J15" i="2"/>
  <c r="M14" i="2"/>
  <c r="M13" i="2"/>
  <c r="M12" i="2"/>
  <c r="M11" i="2"/>
  <c r="M10" i="2"/>
  <c r="M9" i="2"/>
  <c r="M8" i="2"/>
  <c r="M7" i="2"/>
  <c r="M6" i="2"/>
  <c r="M5" i="2"/>
  <c r="M16" i="2" s="1"/>
  <c r="L23" i="5" l="1"/>
  <c r="L24" i="5" s="1"/>
  <c r="M23" i="5"/>
  <c r="M24" i="5" s="1"/>
  <c r="M15" i="4"/>
  <c r="M17" i="2"/>
  <c r="M18" i="2" s="1"/>
  <c r="L17" i="2"/>
  <c r="L18" i="2" s="1"/>
  <c r="M16" i="4" l="1"/>
  <c r="M17" i="4" s="1"/>
  <c r="L16" i="4"/>
  <c r="L17" i="4" s="1"/>
  <c r="J8" i="1" l="1"/>
  <c r="M8" i="1"/>
  <c r="M7" i="1"/>
  <c r="M6" i="1"/>
  <c r="L4" i="1"/>
  <c r="M5" i="1"/>
  <c r="L9" i="1" l="1"/>
  <c r="M9" i="1"/>
  <c r="L10" i="1" l="1"/>
  <c r="L11" i="1" s="1"/>
  <c r="M10" i="1"/>
  <c r="M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Marilin Ojang</author>
  </authors>
  <commentList>
    <comment ref="H69" authorId="0" shapeId="0" xr:uid="{48B6EC00-D446-4D21-ABE4-2D1B1C5D5AEF}">
      <text>
        <r>
          <rPr>
            <b/>
            <sz val="9"/>
            <color indexed="81"/>
            <rFont val="Segoe UI"/>
            <family val="2"/>
          </rPr>
          <t>Marilin Ojang:</t>
        </r>
        <r>
          <rPr>
            <sz val="9"/>
            <color indexed="81"/>
            <rFont val="Segoe UI"/>
            <family val="2"/>
          </rPr>
          <t xml:space="preserve">
Fitekisse lisatud vale Delta viite nr.
Deltas puud antud arvega seotud pakkumised!</t>
        </r>
      </text>
    </comment>
    <comment ref="H89" authorId="0" shapeId="0" xr:uid="{EF795F99-E7E2-41B1-9D16-48A744B6AE23}">
      <text>
        <r>
          <rPr>
            <b/>
            <sz val="9"/>
            <color indexed="81"/>
            <rFont val="Segoe UI"/>
            <family val="2"/>
          </rPr>
          <t>Marilin Ojang:</t>
        </r>
        <r>
          <rPr>
            <sz val="9"/>
            <color indexed="81"/>
            <rFont val="Segoe UI"/>
            <family val="2"/>
          </rPr>
          <t xml:space="preserve">
Delta nr 2-12/15808-1 (puudu 17.06.2024 reg.leht)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Marilin Ojang</author>
  </authors>
  <commentList>
    <comment ref="H9" authorId="0" shapeId="0" xr:uid="{57C0416F-CBD3-40DE-BC7A-E3BD18043199}">
      <text>
        <r>
          <rPr>
            <b/>
            <sz val="9"/>
            <color indexed="81"/>
            <rFont val="Segoe UI"/>
            <family val="2"/>
          </rPr>
          <t>Marilin Ojang:</t>
        </r>
        <r>
          <rPr>
            <sz val="9"/>
            <color indexed="81"/>
            <rFont val="Segoe UI"/>
            <family val="2"/>
          </rPr>
          <t xml:space="preserve">
Fitekisse lisatud vale Delta viite nr.
Deltas puud antud arvega seotud pakkumised!</t>
        </r>
      </text>
    </comment>
    <comment ref="H29" authorId="0" shapeId="0" xr:uid="{FBB2E44C-0ECF-4C4A-8535-6FCD29F91A1A}">
      <text>
        <r>
          <rPr>
            <b/>
            <sz val="9"/>
            <color indexed="81"/>
            <rFont val="Segoe UI"/>
            <family val="2"/>
          </rPr>
          <t>Marilin Ojang:</t>
        </r>
        <r>
          <rPr>
            <sz val="9"/>
            <color indexed="81"/>
            <rFont val="Segoe UI"/>
            <family val="2"/>
          </rPr>
          <t xml:space="preserve">
Delta nr 2-12/15808-1 (puudu 17.06.2024 reg.leht)</t>
        </r>
      </text>
    </comment>
  </commentList>
</comments>
</file>

<file path=xl/sharedStrings.xml><?xml version="1.0" encoding="utf-8"?>
<sst xmlns="http://schemas.openxmlformats.org/spreadsheetml/2006/main" count="1774" uniqueCount="328">
  <si>
    <t>COUNTRY:</t>
  </si>
  <si>
    <t>Project reference</t>
  </si>
  <si>
    <t>Partner book</t>
  </si>
  <si>
    <r>
      <t>Reporting period</t>
    </r>
    <r>
      <rPr>
        <sz val="12"/>
        <rFont val="Arial"/>
        <family val="2"/>
      </rPr>
      <t xml:space="preserve"> 
(mm.yyyy) - (mm.yyyy):</t>
    </r>
  </si>
  <si>
    <t>Project name:</t>
  </si>
  <si>
    <t>Name of Local Currency:</t>
  </si>
  <si>
    <t>Ref.no</t>
  </si>
  <si>
    <t>Date of invoice (dd.mm.yyyy)</t>
  </si>
  <si>
    <t>Date of payment (dd.mm.yyyy)</t>
  </si>
  <si>
    <t>Cash/Bank**</t>
  </si>
  <si>
    <t>Budget line</t>
  </si>
  <si>
    <t>Budget line reference</t>
  </si>
  <si>
    <t>Name of supplier (as per invoice)</t>
  </si>
  <si>
    <t>Description</t>
  </si>
  <si>
    <t>INCOME 
(in local currency)</t>
  </si>
  <si>
    <t>EXPENSE
(in local currency)</t>
  </si>
  <si>
    <t>Exchange rate Inforeuro*</t>
  </si>
  <si>
    <t>INCOME 
(in EUR)</t>
  </si>
  <si>
    <t>EXPENSE
(in EUR)</t>
  </si>
  <si>
    <t>Balance brought forward from previous month:</t>
  </si>
  <si>
    <t>SUB-TOTAL</t>
  </si>
  <si>
    <t>Balance to bring forward</t>
  </si>
  <si>
    <t>TOTAL</t>
  </si>
  <si>
    <t>Date and signature of the person in charge :</t>
  </si>
  <si>
    <t>Date and signature of the head of organization:</t>
  </si>
  <si>
    <t>EUR</t>
  </si>
  <si>
    <t>Estonia</t>
  </si>
  <si>
    <t>i-RESTORE 2.0 – For Accessible Quality Restorative Justice processes for children in contact with the law in Europe – project number 101056659</t>
  </si>
  <si>
    <t xml:space="preserve"> Social Insurance Board</t>
  </si>
  <si>
    <t>10.2022-12.2022</t>
  </si>
  <si>
    <t>Bank</t>
  </si>
  <si>
    <t>Reisieksperdi Aktsiaselts</t>
  </si>
  <si>
    <t>C1</t>
  </si>
  <si>
    <t>Beneficiary 5</t>
  </si>
  <si>
    <t>E</t>
  </si>
  <si>
    <t>Indirect costs (7%)</t>
  </si>
  <si>
    <t>The Social Insurance Board</t>
  </si>
  <si>
    <r>
      <rPr>
        <b/>
        <sz val="11"/>
        <rFont val="Calibri"/>
        <family val="2"/>
        <scheme val="minor"/>
      </rPr>
      <t>SIB/Kick off meeting - flights for participants.</t>
    </r>
    <r>
      <rPr>
        <sz val="11"/>
        <rFont val="Calibri"/>
        <family val="2"/>
        <scheme val="minor"/>
      </rPr>
      <t xml:space="preserve"> Reisieksperdi AS invoice nr BU22-5487, Helerin Välba and Annegrete Johanson travel costs from Tallinn-Bucharest-Tallinn for the i-Restore 2.0 Kick Off meeting 13.11.-17.11.2022. </t>
    </r>
  </si>
  <si>
    <r>
      <rPr>
        <b/>
        <sz val="11"/>
        <rFont val="Calibri"/>
        <family val="2"/>
        <scheme val="minor"/>
      </rPr>
      <t>SIB/Rapid needs assessment 2 experts.</t>
    </r>
    <r>
      <rPr>
        <sz val="11"/>
        <rFont val="Calibri"/>
        <family val="2"/>
        <scheme val="minor"/>
      </rPr>
      <t xml:space="preserve"> Foreign assignment arrangement - expense report (T300-LK/726-K1):  Annegrete Johanson daily allowance from Tallinn-Bucharest-Tallinn for the i-Restore 2.0 Kick Off meeting 13.11.-17.11.2022.</t>
    </r>
  </si>
  <si>
    <r>
      <rPr>
        <b/>
        <sz val="11"/>
        <rFont val="Calibri"/>
        <family val="2"/>
        <scheme val="minor"/>
      </rPr>
      <t>SIB/Rapid needs assessment 2 experts.</t>
    </r>
    <r>
      <rPr>
        <sz val="11"/>
        <rFont val="Calibri"/>
        <family val="2"/>
        <scheme val="minor"/>
      </rPr>
      <t xml:space="preserve"> Foreign assignment arrangement - expense report (T300-LK/725-K1): Helerin Välba daily allowance and travel costs (Taxi rides in Bucharest) from Tallinn-Bucharest-Tallinn for the i-Restore 2.0 Kick Off meeting 13.11.-17.11.2022. </t>
    </r>
  </si>
  <si>
    <t>R01</t>
  </si>
  <si>
    <t>R02</t>
  </si>
  <si>
    <t>R03</t>
  </si>
  <si>
    <t>R04</t>
  </si>
  <si>
    <t>01.01.-03.2023</t>
  </si>
  <si>
    <t>Social Insurance Board</t>
  </si>
  <si>
    <t>Annegrete Johanson - salary January 2023</t>
  </si>
  <si>
    <t>Siht.fin 90%</t>
  </si>
  <si>
    <t>Annegrete Johanson - salary February 2023</t>
  </si>
  <si>
    <t>Annegrete Johanson - salary March 2023</t>
  </si>
  <si>
    <t>Helerin Välba - salary January 2023</t>
  </si>
  <si>
    <t>Helerin Välba- salary February 2023</t>
  </si>
  <si>
    <t>R05</t>
  </si>
  <si>
    <t>Helerin Välba - salary March 2023</t>
  </si>
  <si>
    <t>R06</t>
  </si>
  <si>
    <t>Annegrete Johanson - salary December 2022</t>
  </si>
  <si>
    <t>R07</t>
  </si>
  <si>
    <t>Helerin Välba - salary December 2022</t>
  </si>
  <si>
    <t>R08</t>
  </si>
  <si>
    <t>Sunny Galandrex Tõlkebüroo OÜ</t>
  </si>
  <si>
    <r>
      <rPr>
        <b/>
        <sz val="12"/>
        <rFont val="Arial"/>
        <family val="2"/>
      </rPr>
      <t xml:space="preserve">... . </t>
    </r>
    <r>
      <rPr>
        <sz val="12"/>
        <rFont val="Arial"/>
        <family val="2"/>
      </rPr>
      <t>Sunny Galandrex Tõlkebüroo OÜ invoice 2274109. i-RESTORE e-learning text for translation + module 1-14 + iRestore_elearning_graphic elements_translation.</t>
    </r>
  </si>
  <si>
    <t>R09</t>
  </si>
  <si>
    <r>
      <rPr>
        <b/>
        <sz val="12"/>
        <rFont val="Arial"/>
        <family val="2"/>
      </rPr>
      <t>...flights for participants.</t>
    </r>
    <r>
      <rPr>
        <sz val="12"/>
        <rFont val="Arial"/>
        <family val="2"/>
      </rPr>
      <t xml:space="preserve"> Reisieksperdi AS invoice nr BU23-334, Annegrete Johanson and Stanislav Solodov travel costs from Tallinn-Bucharest-Tallinn 10-12.05.2023.</t>
    </r>
  </si>
  <si>
    <t>R10</t>
  </si>
  <si>
    <t>OK</t>
  </si>
  <si>
    <t>01.04.-06.2023</t>
  </si>
  <si>
    <t>Foreign assignment arrangement - expense report (T300-LK/76-K1):  Annegrete Johanson daily allowance from Tallinn-Bucharest-Tallinn for the i-Restore 2.0 Launching Conference 10.05.-12.05.2023.</t>
  </si>
  <si>
    <t>01.07.-30.09.2023</t>
  </si>
  <si>
    <t>A1</t>
  </si>
  <si>
    <t>A1.5.01-A.5.05</t>
  </si>
  <si>
    <t>Annegrete Johanson - salary July 2023(WP1; WP2; WP4)</t>
  </si>
  <si>
    <t>Annegrete Johanson - holiday pay July 2023</t>
  </si>
  <si>
    <t>A1.5.01; A1.5.03</t>
  </si>
  <si>
    <t>Annegrete Johanson - salary August 2023 (WP1;WP 4)</t>
  </si>
  <si>
    <t>Annegrete Johanson - holiday pay August 2023</t>
  </si>
  <si>
    <t>A1.5.02; A1.5.03; A1.5.05</t>
  </si>
  <si>
    <t>Annegrete Johanson - salary September 2023 (WP 2; WP 4; WP5)</t>
  </si>
  <si>
    <t>Annegrete Johanson - holiday pay September 2023</t>
  </si>
  <si>
    <t>C1a</t>
  </si>
  <si>
    <t>C1a.5.17</t>
  </si>
  <si>
    <t>Restovibe OÜ</t>
  </si>
  <si>
    <t xml:space="preserve">Restovibe OÜ invoice 1097 (Food - 14.08.2023). </t>
  </si>
  <si>
    <t xml:space="preserve">Fringe benefit tax: ÕIEND 9, Restovibe OÜ invoice 1097 (Food - 14.08.2023). </t>
  </si>
  <si>
    <t>Sandra Sutting,  Economic expenditure report (T300-MA/1033) - CAB Youth Council Summer School grocery check for shared cooking/snacks.</t>
  </si>
  <si>
    <t>01.10.2023-31.12.2023</t>
  </si>
  <si>
    <r>
      <t>Annegrete Johanson - salary October 2023 (</t>
    </r>
    <r>
      <rPr>
        <sz val="12"/>
        <color rgb="FFFF0000"/>
        <rFont val="Arial"/>
        <family val="2"/>
      </rPr>
      <t>WP1; WP2; WP4</t>
    </r>
    <r>
      <rPr>
        <sz val="12"/>
        <rFont val="Arial"/>
        <family val="2"/>
      </rPr>
      <t>)</t>
    </r>
  </si>
  <si>
    <t>Annegrete Johanson - holiday pay October 2023</t>
  </si>
  <si>
    <r>
      <t>Annegrete Johanson - salary November 2023 (</t>
    </r>
    <r>
      <rPr>
        <sz val="12"/>
        <color rgb="FFFF0000"/>
        <rFont val="Arial"/>
        <family val="2"/>
      </rPr>
      <t>WP1;WP4</t>
    </r>
    <r>
      <rPr>
        <sz val="12"/>
        <rFont val="Arial"/>
        <family val="2"/>
      </rPr>
      <t>)</t>
    </r>
  </si>
  <si>
    <r>
      <t>Annegrete Johanson - salary December 2023 (</t>
    </r>
    <r>
      <rPr>
        <sz val="12"/>
        <color rgb="FFFF0000"/>
        <rFont val="Arial"/>
        <family val="2"/>
      </rPr>
      <t>WP2; WP4; WP5</t>
    </r>
    <r>
      <rPr>
        <sz val="12"/>
        <rFont val="Arial"/>
        <family val="2"/>
      </rPr>
      <t>)</t>
    </r>
  </si>
  <si>
    <t>Wolt Eesti OÜ</t>
  </si>
  <si>
    <t>Wolt Eesti OÜ invoice 10600000283 (Food 14.08.-16.08.2023; 29.08.2023).</t>
  </si>
  <si>
    <t>Fringe benefit tax: ÕIEND 13. Wolt Eesti OÜ invoice 10600000283 (Food 14.08.-16.08.2023; 29.08.2023).</t>
  </si>
  <si>
    <t xml:space="preserve">Annegrete Johanson - Economic expenditure report T300-MA/1352 (Youth Council summer school 2023. Food 14.08.-16.08.2023). </t>
  </si>
  <si>
    <t xml:space="preserve">Fringe benefit tax: ÕIEND 13. Annegrete Johanson - Economic expenditure report T300-MA/1352 (Youth Council summer school 2023. Food 14.08.-16.08.2023). </t>
  </si>
  <si>
    <t>C3; C1a</t>
  </si>
  <si>
    <t>C3.5.12; C1a.5.21; C1a.5.22</t>
  </si>
  <si>
    <t>Centennial Hospitality OÜ</t>
  </si>
  <si>
    <t>Centennial Hospitality OÜ invoice 179689 (Training rooms and catering 31.10-01.11.2023).</t>
  </si>
  <si>
    <t xml:space="preserve"> C1a.5.21; C1a.5.22</t>
  </si>
  <si>
    <t>Fringe benefit tax: SKA EA LIIK 40. Centennial Hospitality OÜ invoice 179689 (Catering 31.10-01.11.2023).</t>
  </si>
  <si>
    <t>C1a.5.18</t>
  </si>
  <si>
    <t>Sandra Sutting - Economic expenditure report T300-MA/1719 (Members of the Youth Council transport - train tickets).</t>
  </si>
  <si>
    <t>C1a; C3</t>
  </si>
  <si>
    <t>Centennial Hospitality OÜ invoice 180925 (Training rooms and catering 04.12.-05.12.2023).</t>
  </si>
  <si>
    <t>R11</t>
  </si>
  <si>
    <t>Fringe benefit tax: DETSEMBER-2. Centennial Hospitality OÜ invoice 180925 (Catering 04.12.-05.12.2023).</t>
  </si>
  <si>
    <t>R12</t>
  </si>
  <si>
    <t>C3</t>
  </si>
  <si>
    <t>C3.5.17</t>
  </si>
  <si>
    <t>Studio MindZ OÜ</t>
  </si>
  <si>
    <t>Studio MindZ OÜ invoice 2300398 - Room rent 06.12.2023.</t>
  </si>
  <si>
    <t>R13</t>
  </si>
  <si>
    <t>Sandra Sutting - Economic expenditure report T300-MA/1 (CAB youth council transport for young people - train tickets 17.12.2023).</t>
  </si>
  <si>
    <t>R14</t>
  </si>
  <si>
    <t>Terli Linnas - Economic expenditure report T300-MA/69 (CAB youth council transport for young people - train tickets 17.12.2023).</t>
  </si>
  <si>
    <t>R15</t>
  </si>
  <si>
    <t>01.01.2024-31.07.2024</t>
  </si>
  <si>
    <t>Sandra Sutting - Economic expenditure report T300-MA/62 (CAB youth council transport for young people - train tickets 14.01.2024).</t>
  </si>
  <si>
    <t>Reisieksperdi AS Invoice nr BU24-428, 01.02.-02.02.2024 accommodation for training participants in Tallinn (Terli Linnas, Sandra Sutting, Tiia Linnas, Merle Kure, Kevo Jurmann).</t>
  </si>
  <si>
    <t>C3.5.04</t>
  </si>
  <si>
    <t>Mittetulundusühing RuaCrew</t>
  </si>
  <si>
    <t>Mittetulundusühing RuaCrew Invoice nr 7. 01.02.-02.02.2024 training "Implementing principles and principles of restorative law in practice" preparation, execution and summaries.</t>
  </si>
  <si>
    <t>Reisieksperdi AS Invoice nr BU24-641, 11.03.-14.03.2024 flight tickets Tallinn-Bukarest-Tallinn and travel insurance (Sandra Sutting, Terli Linnas, Kristel Põhjala, Ede-Eliisabet Kiisk, Kelian Järv).</t>
  </si>
  <si>
    <t>Reisieksperdi AS Invoice nr BU24-773, 18.02.-22.02.2024 faccommodation and transfeer (Elena-Cristiana Bulgariu, Ruxandra Dorobantu, Andreea Epure, Lucia Octavia Petrescu, Alexandru Georgian Birau).</t>
  </si>
  <si>
    <t>Sandra Sutting - Economic expenditure report T300-MA/138 (CAB youth council transport for young people - train tickets).</t>
  </si>
  <si>
    <t>C3.5.05; C1a.5.13</t>
  </si>
  <si>
    <t xml:space="preserve">Centennial Hospitality OÜ Invoice 182581. Room rent (434,42 eur) and catering (378,71 eur) for the training 02.02.2024 in Tallinn. </t>
  </si>
  <si>
    <t>C4</t>
  </si>
  <si>
    <t>C3.5.06</t>
  </si>
  <si>
    <t>Fringe benefit tax: ÕIEND 33. Centennial Hospitality OÜ Invoice 182581. Room rent and catering for the training 02.02.2024 in Tallinn.</t>
  </si>
  <si>
    <t>C1a.5.15</t>
  </si>
  <si>
    <t>Reisieksperdi AS Invoice nr BU24-1090, 10.03.-11.03.2024 accommodation in Tallinn (Terli Linnas).</t>
  </si>
  <si>
    <t>Sandra Sutting - Economic expenditure report T300-MA/210 (CAB youth council transport for young people - train tickets 03.03.2024).</t>
  </si>
  <si>
    <t>C3.5.15</t>
  </si>
  <si>
    <t>Ourpower OÜ</t>
  </si>
  <si>
    <t>Ourpower OÜ Invoice nr 101110. CAB Youth Council Restorative Justice awareness campaign development, including consultations and conducting workshops.</t>
  </si>
  <si>
    <t>C1a.5.19</t>
  </si>
  <si>
    <t>Foreign assignment arrangement - expense report (T300-LK/94-K1):  Sandra Sutting daily allowance and transport from Tallinn-Bucharest-Tallinn for the i-Restore 2.0 study visit to Romania 11.03.-14.03.2024.</t>
  </si>
  <si>
    <t>C1a.5.20</t>
  </si>
  <si>
    <t>Foreign assignment arrangement - expense report (T300-LK/95-K1):  Terli Linnas daily allowance and transport from Tallinn-Bucharest-Tallinn for the i-Restore 2.0 study visit to Romania 11.03.-14.03.2024.</t>
  </si>
  <si>
    <t>Wolt Eesti OÜ invoice 10600000333. 03.03.2024 CAB Youth Council meeting in Tallinn, catering.</t>
  </si>
  <si>
    <t>Sandra Sutting - Economic expenditure report T300-MA/423 (CAB youth council transport for young people - train and bus tickets 14.04.2024).</t>
  </si>
  <si>
    <t>Wolt Eesti OÜ invoice 10600000338. CAB meeting 14.04.2024 in Tartu, catering.</t>
  </si>
  <si>
    <t>R16</t>
  </si>
  <si>
    <t>Fringe benefit tax: ÕIEND 6. Wolt Eesti OÜ invoice 10600000338. CAB meeting 14.04.2024 in Tartu, catering.</t>
  </si>
  <si>
    <t>R17</t>
  </si>
  <si>
    <t>Foreign assignment arrangement - expense report (T300-LK/321-K1): Sigrid Laan daily allowance from Tallinn-Athens-Tallinn for the iRegional Advocacy Event i-RESTORE 2.0 23.05.-25.03.2024.</t>
  </si>
  <si>
    <t>R18</t>
  </si>
  <si>
    <t>Foreign assignment arrangement - expense report (T300-LK/322-K1): Anneliis Feenstra daily allowance from Tallinn-Athens-Tallinn for the iRegional Advocacy Event i-RESTORE 2.0 23.05.-25.03.2024.</t>
  </si>
  <si>
    <t>R19</t>
  </si>
  <si>
    <t>Foreign assignment arrangement - expense report (T300-LK/323-K1): Helerin Välba daily allowance and transport from Tallinn-Athens-Tallinn for the iRegional Advocacy Event i-RESTORE 2.0 23.05.-25.03.2024.</t>
  </si>
  <si>
    <t>R20</t>
  </si>
  <si>
    <t>Osaühing Laesson &amp; Partnerid</t>
  </si>
  <si>
    <t>Osaühing Laesson &amp; Partnerid Invoice nr 24052058. Awareness circles communal cooking 31.05.2024.</t>
  </si>
  <si>
    <t>R21</t>
  </si>
  <si>
    <t>C3.5.16</t>
  </si>
  <si>
    <t>Mittetulundusühing Sa Suudad</t>
  </si>
  <si>
    <t>Mittetulundusühing Sa Suudad Invoice nr 1. 13.05.2024 meeting of the youth council for the continuation of the I-Restore 2.0.</t>
  </si>
  <si>
    <t>R22</t>
  </si>
  <si>
    <t>C5</t>
  </si>
  <si>
    <t>Mittetulundusühing Sa Suudad Invoice nr 2. 13.05.2024 meeting of the youth council for the continuation of the I-Restore 2.0.</t>
  </si>
  <si>
    <t>R23</t>
  </si>
  <si>
    <t>Helerin Välba - Economic expenditure report T300-MA/737. i-RESTORE 2.0 awarness circles class morning of the participants 22.05.2024 and 24.05.2024.</t>
  </si>
  <si>
    <t>R24</t>
  </si>
  <si>
    <t>C3.5.10</t>
  </si>
  <si>
    <t>Mittetulundusühing Sa Suudad Invoice nr 3. 17.06.2024 meeting of the youth council for the continuation of the I-Restore 2.0.</t>
  </si>
  <si>
    <t>R25</t>
  </si>
  <si>
    <t>All amounts reported are based on 90% (including indirect costs)</t>
  </si>
  <si>
    <t>Kaudne kulu</t>
  </si>
  <si>
    <t>Nende arvestuse järgi</t>
  </si>
  <si>
    <t>Vahe, kaudsest kulust</t>
  </si>
  <si>
    <t>01.08.2024-30.09.2024</t>
  </si>
  <si>
    <t>C1a506 (3 kids, 1023 eur); C1a504 (1800 eur); C1a503 (1510 eur)</t>
  </si>
  <si>
    <t>Reisieksperdi AS Invoice nr BU24-3401, 01.09.-03.09.2024 expenses related to the trip to the seminar in Brussels (Andres Aru, Joel Markus Antson, Hardo Sildnik, Anneliis Feenstra, Sandra Sutting, Ede Eliisabet Kiisk, Kelian Järv).</t>
  </si>
  <si>
    <t>C3516</t>
  </si>
  <si>
    <t>Mittetulundusühing Sa Suudad Invoice nr 5. August 2024 meeting of the youth council for the continuation of the I-Restore 2.0.</t>
  </si>
  <si>
    <t>C1a519</t>
  </si>
  <si>
    <t>Foreign assignment arrangement - expense report (T300-LK/447-K1): Sandra Sutting daily allowance and traveling expenses from Tallinn-Brüssel-Tallinn for the i-Restore project final conference 01.09.-03.09.2024.</t>
  </si>
  <si>
    <t>Foreign assignment arrangement - expense report (T300-LK/448-K1): Anneliis Feenstra daily allowance from Tallinn-Brüssel-Tallinn for the i-Restore project final conference 01.09.-03.09.2024.</t>
  </si>
  <si>
    <t>Sandra Sutting - Economic expenditure report T300-MA/988 (CAB youth council transport for young people - train tickets 01.09.2024, 04.09.2024 and 02.09.24 CAB youth dinner (Brussels conference)).</t>
  </si>
  <si>
    <t>C1a525</t>
  </si>
  <si>
    <t>Anneliis Feenstra - Economic expenditure report T300-MA/1024 (02.09.2024 CAB youth dinner (Brussels conference)).</t>
  </si>
  <si>
    <t>A1501-A1505</t>
  </si>
  <si>
    <t>Anneliis Feenstra - salary August 2024; 35% WP1;  12% WP2; 21% WP3; 22% WP4; 10% WP5</t>
  </si>
  <si>
    <t>Anneliis Feenstra - salary September 2024; 35% WP1;  12% WP2; 21% WP3; 22% WP4; 10% WP5</t>
  </si>
  <si>
    <t>01.10.2024-31.12.2024</t>
  </si>
  <si>
    <t>Osaühing Multilingua Tõlkebüroo</t>
  </si>
  <si>
    <t>Osaühing Multilingua Tõlkebüroo Invoice 240517, written translation from English to Estonian -&gt; Awareness circle storybooki.</t>
  </si>
  <si>
    <t>Mittetulundusühing Sa Suudad Invoice nr 8. 17.11.2024 CAB meeting feedback focus group to carry out.</t>
  </si>
  <si>
    <t>Osaühing VALI PRESS</t>
  </si>
  <si>
    <t>Osaühing VALI PRESS Invoice nr 241631. Restorative justice card game final design, language editing and printing, 35 sets. Ordered products were put into use on 09.12.2024 at the I-restore closing conference.</t>
  </si>
  <si>
    <t>F-hoone OÜ</t>
  </si>
  <si>
    <t>F-hoone OÜ Invoice nr 24456. i-RESTORE 2.0 thank you dinner for CAB members and project partners in Tallinn, Estonia 09.12.2024.</t>
  </si>
  <si>
    <t>R034</t>
  </si>
  <si>
    <t>Fringe benefit tax: DETSEMBER. F-hoone OÜ Invoice nr 24456 (i-RESTORE 2.0 thank you dinner for CAB members and project partners in Tallinn, Estonia 09.12.2024).</t>
  </si>
  <si>
    <t>OÜ AJ Palaestra</t>
  </si>
  <si>
    <t>OÜ AJ Palaestra Invoice nr 59. Organizing a conference for educators and other professionals working with youth. i-RESTORE 2.0 final conference 09.12.2024</t>
  </si>
  <si>
    <t>Pintsel &amp; Pokaal OÜ</t>
  </si>
  <si>
    <t>Pintsel &amp; Pokaal OÜ Invoice nr 2024004. CAB Youth Council joint activities in Tallinn 16.12.2024.</t>
  </si>
  <si>
    <t>Jääk</t>
  </si>
  <si>
    <t>TJK</t>
  </si>
  <si>
    <t>Kulud</t>
  </si>
  <si>
    <t>EA005</t>
  </si>
  <si>
    <t>Laekumine</t>
  </si>
  <si>
    <t>Kokku</t>
  </si>
  <si>
    <t>Jääk (2023)</t>
  </si>
  <si>
    <t xml:space="preserve">Kokku </t>
  </si>
  <si>
    <t>Jääk (2024)</t>
  </si>
  <si>
    <t>Jääk (2022)</t>
  </si>
  <si>
    <t>R1 kokku</t>
  </si>
  <si>
    <t>R2 kokku</t>
  </si>
  <si>
    <t>R3 kokku</t>
  </si>
  <si>
    <t>R4 kokku</t>
  </si>
  <si>
    <t>R5 kokku</t>
  </si>
  <si>
    <t>R5 (2023)</t>
  </si>
  <si>
    <t>R4 (2023)</t>
  </si>
  <si>
    <t>R03 (2023)</t>
  </si>
  <si>
    <t>R2 (2023)</t>
  </si>
  <si>
    <t>R2 (2022)</t>
  </si>
  <si>
    <t>R1 (2022)</t>
  </si>
  <si>
    <t>R1-5 kulud</t>
  </si>
  <si>
    <t>R6 (2024)</t>
  </si>
  <si>
    <t>R6 kokku</t>
  </si>
  <si>
    <t>R7 (2024)</t>
  </si>
  <si>
    <t>R7 kokku</t>
  </si>
  <si>
    <t>R8 kokku</t>
  </si>
  <si>
    <t>R8 (2024)</t>
  </si>
  <si>
    <t>Kulu kokku</t>
  </si>
  <si>
    <t>MT1-8 kulud</t>
  </si>
  <si>
    <t>Vahe</t>
  </si>
  <si>
    <t>Project Manager. Annegrete Johanson - salary January 2023</t>
  </si>
  <si>
    <t>Project Manager. Annegrete Johanson - salary February 2023</t>
  </si>
  <si>
    <t>Project Manager. Annegrete Johanson - salary March 2023</t>
  </si>
  <si>
    <t>Project Manager. Helerin Välba - salary January 2023</t>
  </si>
  <si>
    <t>Project Manager. Helerin Välba- salary February 2023</t>
  </si>
  <si>
    <t>Project Manager. Helerin Välba - salary March 2023</t>
  </si>
  <si>
    <t>Project Manager. Annegrete Johanson - salary December 2022</t>
  </si>
  <si>
    <t>Project Manager. Helerin Välba - salary December 2022</t>
  </si>
  <si>
    <r>
      <t>Rapid needs assessment 2 experts.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Sunny Galandrex Tõlkebüroo OÜ invoice 2274109. i-RESTORE e-learning text for translation + module 1-14 + iRestore_elearning_graphic elements_translation.</t>
    </r>
  </si>
  <si>
    <t>Rapid needs assessment 2 experts. Reisieksperdi AS invoice nr BU23-334, Annegrete Johanson and Stanislav Solodov travel costs from Tallinn-Bucharest-Tallinn 10-12.05.2023.</t>
  </si>
  <si>
    <t>A1.5.01</t>
  </si>
  <si>
    <t>Annegrete Johanson - salary April 2023, WP1</t>
  </si>
  <si>
    <t>A1.5.02</t>
  </si>
  <si>
    <t>Annegrete Johanson - salary April 2023, WP2</t>
  </si>
  <si>
    <t>A1.5.03</t>
  </si>
  <si>
    <t>Annegrete Johanson - salary April 2023, WP3</t>
  </si>
  <si>
    <t>A1.5.04</t>
  </si>
  <si>
    <t>Annegrete Johanson - salary April 2023, WP4</t>
  </si>
  <si>
    <t>A1.5.05</t>
  </si>
  <si>
    <t>Annegrete Johanson - salary April 2023, WP5</t>
  </si>
  <si>
    <t>Annegrete Johanson - holiday pay April 2023</t>
  </si>
  <si>
    <t>Annegrete Johanson - salary May 2023, WP1</t>
  </si>
  <si>
    <t>Annegrete Johanson - salary May 2023, WP2</t>
  </si>
  <si>
    <t>Annegrete Johanson - salary May 2023, WP3</t>
  </si>
  <si>
    <t>Annegrete Johanson - salary May 2023, WP4</t>
  </si>
  <si>
    <t>Annegrete Johanson - salary May 2023, WP5</t>
  </si>
  <si>
    <t>Annegrete Johanson - holiday pay May 2023</t>
  </si>
  <si>
    <t>Annegrete Johanson - salary June 2023, WP1</t>
  </si>
  <si>
    <t>Annegrete Johanson - salary June 2023, WP2</t>
  </si>
  <si>
    <t>Annegrete Johanson - salary June 2023, WP3</t>
  </si>
  <si>
    <t>Annegrete Johanson - salary June 2023, WP4</t>
  </si>
  <si>
    <t>Annegrete Johanson - salary June 2023, WP5</t>
  </si>
  <si>
    <t>C3.5.13</t>
  </si>
  <si>
    <t>MT01</t>
  </si>
  <si>
    <t>MT02</t>
  </si>
  <si>
    <t>Jan-Mar23</t>
  </si>
  <si>
    <t>Oct-Dec22</t>
  </si>
  <si>
    <t>MT03</t>
  </si>
  <si>
    <t>Apr-Jun23</t>
  </si>
  <si>
    <t>MT04</t>
  </si>
  <si>
    <t>Jul-Sept23</t>
  </si>
  <si>
    <t>MT05</t>
  </si>
  <si>
    <t>Oct-Dec23</t>
  </si>
  <si>
    <t>MT06</t>
  </si>
  <si>
    <t>Jan-Jun24</t>
  </si>
  <si>
    <t>MT07</t>
  </si>
  <si>
    <t>Jul-Oct24</t>
  </si>
  <si>
    <t>MT08</t>
  </si>
  <si>
    <t>Nov-Dec24</t>
  </si>
  <si>
    <t>Kokku MT01-MT08</t>
  </si>
  <si>
    <t>Ettemaksu jääk</t>
  </si>
  <si>
    <t>MT</t>
  </si>
  <si>
    <t>Periood</t>
  </si>
  <si>
    <t>MT kokku</t>
  </si>
  <si>
    <t>(tühi)</t>
  </si>
  <si>
    <t>Üldkokkuvõte</t>
  </si>
  <si>
    <t>Summa kogusummast EXPENSE
(in EUR)</t>
  </si>
  <si>
    <t>R1-R8 kokku</t>
  </si>
  <si>
    <t>Financial Statement</t>
  </si>
  <si>
    <t>Total costs (100%)</t>
  </si>
  <si>
    <t>Maximum EU contribution (90%)</t>
  </si>
  <si>
    <t>Eligible costs (100%)</t>
  </si>
  <si>
    <t>E. Indirect costs 7% (100%)</t>
  </si>
  <si>
    <t>Esitatud MT (R1-R8) 90% arvestusega</t>
  </si>
  <si>
    <t>Esitatud MT kokku</t>
  </si>
  <si>
    <t>C3515</t>
  </si>
  <si>
    <t>C3519; C3520</t>
  </si>
  <si>
    <t>C1A517</t>
  </si>
  <si>
    <r>
      <t xml:space="preserve">Covered from </t>
    </r>
    <r>
      <rPr>
        <b/>
        <sz val="12"/>
        <rFont val="Arial"/>
        <family val="2"/>
      </rPr>
      <t xml:space="preserve">net balance of all budget lines: </t>
    </r>
    <r>
      <rPr>
        <sz val="12"/>
        <rFont val="Arial"/>
        <family val="2"/>
      </rPr>
      <t xml:space="preserve">C3504; C3513; C3517; A1515; </t>
    </r>
  </si>
  <si>
    <t xml:space="preserve">C3504; C3513; C3517; A1515; </t>
  </si>
  <si>
    <t>Transfer 1 to SIB</t>
  </si>
  <si>
    <t>Transfer 2 to SIB</t>
  </si>
  <si>
    <t>SIB EC contribution</t>
  </si>
  <si>
    <t>SIB to return to TDH</t>
  </si>
  <si>
    <t>Tagasi maksta</t>
  </si>
  <si>
    <t xml:space="preserve">Tee kontoga 555 kanne projekti kuludeks juurde </t>
  </si>
  <si>
    <t>e-kiri Deltasse ja suunata koos infoga Pille Kirsimäele tagasi maksmiseks.</t>
  </si>
  <si>
    <t>EA005 ettemaksu jääk</t>
  </si>
  <si>
    <t>Tee kontoga 555 kanne projekti kuludeks juurde, meil ümardamistega vaja veel 0,03 kulusid juurde kande</t>
  </si>
  <si>
    <t>9T30-MU00-IRESTORE - i-RESTORE 2.0/iRESTORE (LEP.2-11/43323-1)</t>
  </si>
  <si>
    <t>Eelarve liik</t>
  </si>
  <si>
    <t>Eelarve konto</t>
  </si>
  <si>
    <t>Eelarve konto nimetus</t>
  </si>
  <si>
    <t>Eelarve</t>
  </si>
  <si>
    <t>Vabastatud eelarve</t>
  </si>
  <si>
    <t>Täitmine</t>
  </si>
  <si>
    <t>Täitmise %</t>
  </si>
  <si>
    <t>Välistoetused</t>
  </si>
  <si>
    <t>40</t>
  </si>
  <si>
    <t>T</t>
  </si>
  <si>
    <t>Tulud</t>
  </si>
  <si>
    <t>Tulud välistoetustest</t>
  </si>
  <si>
    <t>K</t>
  </si>
  <si>
    <t>Tegevuskulud</t>
  </si>
  <si>
    <t>Kulud välistoetustest</t>
  </si>
  <si>
    <r>
      <t xml:space="preserve">EA005 Toetuse eelarve tekkepõhine täitmine </t>
    </r>
    <r>
      <rPr>
        <sz val="12"/>
        <color rgb="FF333333"/>
        <rFont val="Arial"/>
        <family val="2"/>
      </rPr>
      <t>2025</t>
    </r>
  </si>
  <si>
    <t>Rahastaja arvestus</t>
  </si>
  <si>
    <t>Kokku 555 kanne projekti kuludeks juurde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</si>
</sst>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9" formatCode="#,##0.00%"/>
  </numFmts>
  <fonts count="28" x14ac:knownFonts="1">
    <font>
      <sz val="10"/>
      <name val="Arial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i/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"/>
      <family val="2"/>
    </font>
    <font>
      <sz val="1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186"/>
    </font>
    <font>
      <b/>
      <sz val="11"/>
      <name val="Calibri"/>
      <family val="2"/>
      <charset val="186"/>
      <scheme val="minor"/>
    </font>
    <font>
      <sz val="10"/>
      <color rgb="FF242424"/>
      <name val="Arial"/>
      <family val="2"/>
    </font>
    <font>
      <b/>
      <sz val="12"/>
      <color rgb="FF333333"/>
      <name val="Arial"/>
    </font>
    <font>
      <sz val="9"/>
      <color rgb="FF333333"/>
      <name val="Arial"/>
    </font>
    <font>
      <b/>
      <sz val="12"/>
      <color rgb="FF000000"/>
      <name val="Arial"/>
    </font>
    <font>
      <b/>
      <sz val="9"/>
      <color rgb="FF000000"/>
      <name val="Arial"/>
    </font>
    <font>
      <b/>
      <sz val="9"/>
      <color rgb="FF333333"/>
      <name val="Arial"/>
    </font>
    <font>
      <sz val="12"/>
      <color rgb="FF333333"/>
      <name val="Arial"/>
      <family val="2"/>
    </font>
    <font>
      <b/>
      <sz val="12"/>
      <color rgb="FF333333"/>
      <name val="Arial"/>
      <family val="2"/>
    </font>
    <font>
      <b/>
      <sz val="10"/>
      <color rgb="FF242424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DEDED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FFFFC7"/>
        <bgColor rgb="FFFFFFFF"/>
      </patternFill>
    </fill>
    <fill>
      <patternFill patternType="solid">
        <fgColor theme="6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A3A3A3"/>
      </left>
      <right style="medium">
        <color rgb="FFA3A3A3"/>
      </right>
      <top/>
      <bottom/>
      <diagonal/>
    </border>
    <border>
      <left style="medium">
        <color rgb="FFA3A3A3"/>
      </left>
      <right style="medium">
        <color rgb="FFA3A3A3"/>
      </right>
      <top/>
      <bottom style="medium">
        <color rgb="FFA3A3A3"/>
      </bottom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2" fillId="0" borderId="0"/>
    <xf numFmtId="0" fontId="9" fillId="0" borderId="0"/>
  </cellStyleXfs>
  <cellXfs count="371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3" borderId="0" xfId="0" applyFont="1" applyFill="1"/>
    <xf numFmtId="14" fontId="2" fillId="3" borderId="0" xfId="0" applyNumberFormat="1" applyFont="1" applyFill="1" applyAlignment="1">
      <alignment horizontal="center" vertical="top"/>
    </xf>
    <xf numFmtId="1" fontId="3" fillId="3" borderId="0" xfId="0" applyNumberFormat="1" applyFont="1" applyFill="1" applyAlignment="1">
      <alignment horizontal="right" vertical="center"/>
    </xf>
    <xf numFmtId="1" fontId="3" fillId="3" borderId="0" xfId="0" applyNumberFormat="1" applyFont="1" applyFill="1" applyAlignment="1">
      <alignment horizontal="right" vertical="center" wrapText="1"/>
    </xf>
    <xf numFmtId="0" fontId="3" fillId="3" borderId="0" xfId="0" applyFont="1" applyFill="1" applyAlignment="1">
      <alignment horizontal="right" vertical="top"/>
    </xf>
    <xf numFmtId="14" fontId="1" fillId="0" borderId="0" xfId="0" applyNumberFormat="1" applyFont="1" applyAlignment="1">
      <alignment horizontal="left"/>
    </xf>
    <xf numFmtId="14" fontId="1" fillId="0" borderId="0" xfId="0" applyNumberFormat="1" applyFont="1"/>
    <xf numFmtId="1" fontId="1" fillId="0" borderId="0" xfId="0" applyNumberFormat="1" applyFont="1" applyAlignment="1">
      <alignment horizontal="center"/>
    </xf>
    <xf numFmtId="4" fontId="1" fillId="0" borderId="0" xfId="0" applyNumberFormat="1" applyFont="1"/>
    <xf numFmtId="0" fontId="1" fillId="0" borderId="0" xfId="0" applyFont="1" applyAlignment="1">
      <alignment vertical="center"/>
    </xf>
    <xf numFmtId="4" fontId="3" fillId="3" borderId="0" xfId="0" applyNumberFormat="1" applyFont="1" applyFill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14" fontId="1" fillId="3" borderId="0" xfId="0" applyNumberFormat="1" applyFont="1" applyFill="1"/>
    <xf numFmtId="1" fontId="1" fillId="3" borderId="0" xfId="0" applyNumberFormat="1" applyFont="1" applyFill="1" applyAlignment="1">
      <alignment horizontal="center"/>
    </xf>
    <xf numFmtId="1" fontId="1" fillId="3" borderId="0" xfId="0" applyNumberFormat="1" applyFont="1" applyFill="1" applyAlignment="1">
      <alignment horizontal="right"/>
    </xf>
    <xf numFmtId="14" fontId="1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4" fontId="3" fillId="3" borderId="3" xfId="0" applyNumberFormat="1" applyFont="1" applyFill="1" applyBorder="1"/>
    <xf numFmtId="4" fontId="1" fillId="3" borderId="4" xfId="0" applyNumberFormat="1" applyFont="1" applyFill="1" applyBorder="1"/>
    <xf numFmtId="4" fontId="1" fillId="3" borderId="0" xfId="0" applyNumberFormat="1" applyFont="1" applyFill="1"/>
    <xf numFmtId="1" fontId="5" fillId="3" borderId="0" xfId="0" applyNumberFormat="1" applyFont="1" applyFill="1" applyAlignment="1">
      <alignment horizontal="right" vertical="center"/>
    </xf>
    <xf numFmtId="0" fontId="1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 applyProtection="1">
      <alignment vertical="center" wrapText="1"/>
      <protection locked="0"/>
    </xf>
    <xf numFmtId="0" fontId="6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wrapText="1"/>
    </xf>
    <xf numFmtId="14" fontId="3" fillId="2" borderId="2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1" fillId="3" borderId="3" xfId="0" applyNumberFormat="1" applyFont="1" applyFill="1" applyBorder="1"/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/>
    <xf numFmtId="14" fontId="1" fillId="0" borderId="1" xfId="0" applyNumberFormat="1" applyFont="1" applyBorder="1"/>
    <xf numFmtId="1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2" fontId="4" fillId="0" borderId="1" xfId="0" applyNumberFormat="1" applyFont="1" applyBorder="1" applyAlignment="1">
      <alignment horizontal="right"/>
    </xf>
    <xf numFmtId="4" fontId="1" fillId="0" borderId="1" xfId="0" applyNumberFormat="1" applyFont="1" applyBorder="1" applyProtection="1">
      <protection locked="0"/>
    </xf>
    <xf numFmtId="14" fontId="1" fillId="0" borderId="1" xfId="0" applyNumberFormat="1" applyFont="1" applyBorder="1" applyAlignment="1" applyProtection="1">
      <alignment horizontal="left" vertical="center"/>
      <protection locked="0"/>
    </xf>
    <xf numFmtId="49" fontId="1" fillId="4" borderId="1" xfId="0" applyNumberFormat="1" applyFont="1" applyFill="1" applyBorder="1" applyAlignment="1" applyProtection="1">
      <alignment vertical="center"/>
      <protection locked="0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4" fontId="1" fillId="0" borderId="1" xfId="0" applyNumberFormat="1" applyFont="1" applyBorder="1" applyAlignment="1" applyProtection="1">
      <alignment vertical="center"/>
      <protection locked="0"/>
    </xf>
    <xf numFmtId="2" fontId="1" fillId="0" borderId="1" xfId="0" applyNumberFormat="1" applyFont="1" applyBorder="1" applyAlignment="1" applyProtection="1">
      <alignment vertical="center"/>
      <protection locked="0"/>
    </xf>
    <xf numFmtId="0" fontId="7" fillId="5" borderId="1" xfId="0" applyFont="1" applyFill="1" applyBorder="1" applyAlignment="1">
      <alignment wrapText="1"/>
    </xf>
    <xf numFmtId="14" fontId="3" fillId="3" borderId="0" xfId="0" applyNumberFormat="1" applyFont="1" applyFill="1" applyAlignment="1">
      <alignment horizontal="right" wrapText="1"/>
    </xf>
    <xf numFmtId="14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left"/>
    </xf>
    <xf numFmtId="0" fontId="1" fillId="0" borderId="2" xfId="0" applyFont="1" applyBorder="1"/>
    <xf numFmtId="14" fontId="1" fillId="0" borderId="2" xfId="0" applyNumberFormat="1" applyFont="1" applyBorder="1"/>
    <xf numFmtId="14" fontId="1" fillId="0" borderId="3" xfId="0" applyNumberFormat="1" applyFont="1" applyBorder="1"/>
    <xf numFmtId="1" fontId="1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4" fontId="4" fillId="0" borderId="2" xfId="0" applyNumberFormat="1" applyFont="1" applyBorder="1" applyAlignment="1">
      <alignment horizontal="right"/>
    </xf>
    <xf numFmtId="4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Alignment="1" applyProtection="1">
      <alignment horizontal="left"/>
      <protection locked="0"/>
    </xf>
    <xf numFmtId="0" fontId="1" fillId="0" borderId="3" xfId="0" applyFont="1" applyBorder="1"/>
    <xf numFmtId="49" fontId="1" fillId="4" borderId="3" xfId="0" applyNumberFormat="1" applyFont="1" applyFill="1" applyBorder="1" applyProtection="1">
      <protection locked="0"/>
    </xf>
    <xf numFmtId="1" fontId="1" fillId="0" borderId="3" xfId="0" applyNumberFormat="1" applyFont="1" applyBorder="1" applyAlignment="1" applyProtection="1">
      <alignment horizontal="center"/>
      <protection locked="0"/>
    </xf>
    <xf numFmtId="0" fontId="1" fillId="0" borderId="3" xfId="0" applyFont="1" applyBorder="1" applyProtection="1">
      <protection locked="0"/>
    </xf>
    <xf numFmtId="4" fontId="1" fillId="0" borderId="3" xfId="0" applyNumberFormat="1" applyFont="1" applyBorder="1" applyProtection="1">
      <protection locked="0"/>
    </xf>
    <xf numFmtId="164" fontId="1" fillId="0" borderId="3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" fontId="1" fillId="3" borderId="2" xfId="0" applyNumberFormat="1" applyFont="1" applyFill="1" applyBorder="1"/>
    <xf numFmtId="4" fontId="1" fillId="6" borderId="2" xfId="0" applyNumberFormat="1" applyFont="1" applyFill="1" applyBorder="1"/>
    <xf numFmtId="4" fontId="1" fillId="6" borderId="3" xfId="0" applyNumberFormat="1" applyFont="1" applyFill="1" applyBorder="1"/>
    <xf numFmtId="14" fontId="1" fillId="0" borderId="1" xfId="0" applyNumberFormat="1" applyFont="1" applyBorder="1" applyAlignment="1" applyProtection="1">
      <alignment horizontal="left"/>
      <protection locked="0"/>
    </xf>
    <xf numFmtId="2" fontId="1" fillId="0" borderId="3" xfId="0" applyNumberFormat="1" applyFont="1" applyBorder="1" applyProtection="1">
      <protection locked="0"/>
    </xf>
    <xf numFmtId="14" fontId="1" fillId="7" borderId="3" xfId="0" applyNumberFormat="1" applyFont="1" applyFill="1" applyBorder="1" applyAlignment="1" applyProtection="1">
      <alignment horizontal="left" wrapText="1"/>
      <protection locked="0"/>
    </xf>
    <xf numFmtId="14" fontId="1" fillId="0" borderId="10" xfId="0" applyNumberFormat="1" applyFont="1" applyBorder="1" applyAlignment="1" applyProtection="1">
      <alignment horizontal="left"/>
      <protection locked="0"/>
    </xf>
    <xf numFmtId="0" fontId="1" fillId="0" borderId="10" xfId="0" applyFont="1" applyBorder="1"/>
    <xf numFmtId="0" fontId="1" fillId="0" borderId="10" xfId="0" applyFont="1" applyBorder="1" applyProtection="1">
      <protection locked="0"/>
    </xf>
    <xf numFmtId="2" fontId="1" fillId="0" borderId="10" xfId="0" applyNumberFormat="1" applyFont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9" borderId="11" xfId="0" applyFont="1" applyFill="1" applyBorder="1" applyAlignment="1">
      <alignment vertical="center" wrapText="1"/>
    </xf>
    <xf numFmtId="0" fontId="1" fillId="0" borderId="1" xfId="0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0" borderId="12" xfId="0" applyFont="1" applyBorder="1"/>
    <xf numFmtId="0" fontId="9" fillId="5" borderId="1" xfId="0" applyFont="1" applyFill="1" applyBorder="1"/>
    <xf numFmtId="1" fontId="1" fillId="0" borderId="13" xfId="0" applyNumberFormat="1" applyFont="1" applyBorder="1" applyAlignment="1" applyProtection="1">
      <alignment horizontal="center"/>
      <protection locked="0"/>
    </xf>
    <xf numFmtId="14" fontId="1" fillId="0" borderId="3" xfId="0" applyNumberFormat="1" applyFont="1" applyBorder="1" applyAlignment="1">
      <alignment horizontal="left"/>
    </xf>
    <xf numFmtId="0" fontId="1" fillId="9" borderId="14" xfId="0" applyFont="1" applyFill="1" applyBorder="1" applyAlignment="1">
      <alignment vertical="center" wrapText="1"/>
    </xf>
    <xf numFmtId="164" fontId="1" fillId="0" borderId="3" xfId="0" applyNumberFormat="1" applyFont="1" applyBorder="1" applyAlignment="1" applyProtection="1">
      <alignment horizontal="center" wrapText="1"/>
      <protection locked="0"/>
    </xf>
    <xf numFmtId="0" fontId="4" fillId="0" borderId="3" xfId="0" applyFont="1" applyBorder="1" applyAlignment="1">
      <alignment horizontal="right"/>
    </xf>
    <xf numFmtId="1" fontId="1" fillId="0" borderId="13" xfId="0" applyNumberFormat="1" applyFont="1" applyBorder="1" applyAlignment="1">
      <alignment horizontal="center"/>
    </xf>
    <xf numFmtId="0" fontId="1" fillId="9" borderId="15" xfId="0" applyFont="1" applyFill="1" applyBorder="1" applyAlignment="1">
      <alignment vertical="center" wrapText="1"/>
    </xf>
    <xf numFmtId="0" fontId="1" fillId="9" borderId="16" xfId="0" applyFont="1" applyFill="1" applyBorder="1" applyAlignment="1">
      <alignment vertical="center" wrapText="1"/>
    </xf>
    <xf numFmtId="14" fontId="1" fillId="5" borderId="1" xfId="0" applyNumberFormat="1" applyFont="1" applyFill="1" applyBorder="1" applyAlignment="1" applyProtection="1">
      <alignment horizontal="left"/>
      <protection locked="0"/>
    </xf>
    <xf numFmtId="14" fontId="1" fillId="5" borderId="3" xfId="0" applyNumberFormat="1" applyFont="1" applyFill="1" applyBorder="1" applyAlignment="1" applyProtection="1">
      <alignment horizontal="left"/>
      <protection locked="0"/>
    </xf>
    <xf numFmtId="49" fontId="1" fillId="0" borderId="10" xfId="0" applyNumberFormat="1" applyFont="1" applyBorder="1" applyAlignment="1" applyProtection="1">
      <alignment vertical="center"/>
      <protection locked="0"/>
    </xf>
    <xf numFmtId="2" fontId="1" fillId="0" borderId="0" xfId="0" applyNumberFormat="1" applyFont="1"/>
    <xf numFmtId="0" fontId="1" fillId="0" borderId="17" xfId="0" applyFont="1" applyBorder="1"/>
    <xf numFmtId="14" fontId="1" fillId="4" borderId="2" xfId="0" applyNumberFormat="1" applyFont="1" applyFill="1" applyBorder="1" applyAlignment="1" applyProtection="1">
      <alignment horizontal="left"/>
      <protection locked="0"/>
    </xf>
    <xf numFmtId="0" fontId="12" fillId="0" borderId="1" xfId="1" applyBorder="1" applyAlignment="1">
      <alignment horizontal="center" wrapText="1"/>
    </xf>
    <xf numFmtId="164" fontId="1" fillId="0" borderId="2" xfId="0" applyNumberFormat="1" applyFont="1" applyBorder="1" applyAlignment="1" applyProtection="1">
      <alignment horizontal="center"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2" fontId="1" fillId="0" borderId="2" xfId="0" applyNumberFormat="1" applyFont="1" applyBorder="1" applyProtection="1">
      <protection locked="0"/>
    </xf>
    <xf numFmtId="14" fontId="1" fillId="4" borderId="3" xfId="0" applyNumberFormat="1" applyFont="1" applyFill="1" applyBorder="1" applyAlignment="1" applyProtection="1">
      <alignment horizontal="left"/>
      <protection locked="0"/>
    </xf>
    <xf numFmtId="0" fontId="9" fillId="0" borderId="1" xfId="0" applyFont="1" applyBorder="1"/>
    <xf numFmtId="4" fontId="1" fillId="10" borderId="2" xfId="0" applyNumberFormat="1" applyFont="1" applyFill="1" applyBorder="1" applyProtection="1">
      <protection locked="0"/>
    </xf>
    <xf numFmtId="4" fontId="1" fillId="10" borderId="3" xfId="0" applyNumberFormat="1" applyFont="1" applyFill="1" applyBorder="1" applyProtection="1">
      <protection locked="0"/>
    </xf>
    <xf numFmtId="0" fontId="13" fillId="5" borderId="1" xfId="0" applyFont="1" applyFill="1" applyBorder="1" applyAlignment="1">
      <alignment wrapText="1"/>
    </xf>
    <xf numFmtId="0" fontId="15" fillId="0" borderId="1" xfId="0" applyFont="1" applyBorder="1" applyAlignment="1">
      <alignment horizontal="right"/>
    </xf>
    <xf numFmtId="0" fontId="15" fillId="0" borderId="1" xfId="0" applyFont="1" applyBorder="1"/>
    <xf numFmtId="4" fontId="15" fillId="0" borderId="1" xfId="0" applyNumberFormat="1" applyFont="1" applyBorder="1"/>
    <xf numFmtId="0" fontId="14" fillId="0" borderId="0" xfId="0" applyFont="1"/>
    <xf numFmtId="0" fontId="14" fillId="11" borderId="17" xfId="0" applyFont="1" applyFill="1" applyBorder="1"/>
    <xf numFmtId="0" fontId="14" fillId="11" borderId="18" xfId="0" applyFont="1" applyFill="1" applyBorder="1"/>
    <xf numFmtId="0" fontId="14" fillId="11" borderId="12" xfId="0" applyFont="1" applyFill="1" applyBorder="1"/>
    <xf numFmtId="0" fontId="14" fillId="11" borderId="0" xfId="0" applyFont="1" applyFill="1"/>
    <xf numFmtId="0" fontId="14" fillId="11" borderId="20" xfId="0" applyFont="1" applyFill="1" applyBorder="1"/>
    <xf numFmtId="0" fontId="14" fillId="11" borderId="8" xfId="0" applyFont="1" applyFill="1" applyBorder="1"/>
    <xf numFmtId="4" fontId="14" fillId="12" borderId="0" xfId="0" applyNumberFormat="1" applyFont="1" applyFill="1"/>
    <xf numFmtId="0" fontId="14" fillId="14" borderId="17" xfId="0" applyFont="1" applyFill="1" applyBorder="1"/>
    <xf numFmtId="0" fontId="14" fillId="14" borderId="18" xfId="0" applyFont="1" applyFill="1" applyBorder="1"/>
    <xf numFmtId="4" fontId="14" fillId="14" borderId="19" xfId="0" applyNumberFormat="1" applyFont="1" applyFill="1" applyBorder="1"/>
    <xf numFmtId="0" fontId="14" fillId="15" borderId="1" xfId="0" applyFont="1" applyFill="1" applyBorder="1"/>
    <xf numFmtId="4" fontId="14" fillId="15" borderId="1" xfId="0" applyNumberFormat="1" applyFont="1" applyFill="1" applyBorder="1"/>
    <xf numFmtId="0" fontId="14" fillId="14" borderId="12" xfId="0" applyFont="1" applyFill="1" applyBorder="1"/>
    <xf numFmtId="0" fontId="14" fillId="14" borderId="0" xfId="0" applyFont="1" applyFill="1"/>
    <xf numFmtId="4" fontId="14" fillId="14" borderId="13" xfId="0" applyNumberFormat="1" applyFont="1" applyFill="1" applyBorder="1"/>
    <xf numFmtId="0" fontId="14" fillId="0" borderId="1" xfId="0" applyFont="1" applyBorder="1"/>
    <xf numFmtId="4" fontId="14" fillId="0" borderId="1" xfId="0" applyNumberFormat="1" applyFont="1" applyBorder="1"/>
    <xf numFmtId="0" fontId="14" fillId="14" borderId="20" xfId="0" applyFont="1" applyFill="1" applyBorder="1"/>
    <xf numFmtId="0" fontId="14" fillId="14" borderId="8" xfId="0" applyFont="1" applyFill="1" applyBorder="1"/>
    <xf numFmtId="0" fontId="14" fillId="0" borderId="1" xfId="0" applyFont="1" applyBorder="1" applyAlignment="1">
      <alignment horizontal="right"/>
    </xf>
    <xf numFmtId="2" fontId="14" fillId="0" borderId="1" xfId="0" applyNumberFormat="1" applyFont="1" applyBorder="1"/>
    <xf numFmtId="4" fontId="14" fillId="11" borderId="19" xfId="0" applyNumberFormat="1" applyFont="1" applyFill="1" applyBorder="1"/>
    <xf numFmtId="0" fontId="15" fillId="12" borderId="1" xfId="0" applyFont="1" applyFill="1" applyBorder="1" applyAlignment="1">
      <alignment horizontal="right"/>
    </xf>
    <xf numFmtId="0" fontId="14" fillId="12" borderId="1" xfId="0" applyFont="1" applyFill="1" applyBorder="1"/>
    <xf numFmtId="4" fontId="14" fillId="0" borderId="0" xfId="0" applyNumberFormat="1" applyFont="1"/>
    <xf numFmtId="4" fontId="14" fillId="11" borderId="13" xfId="0" applyNumberFormat="1" applyFont="1" applyFill="1" applyBorder="1"/>
    <xf numFmtId="0" fontId="15" fillId="12" borderId="0" xfId="0" applyFont="1" applyFill="1" applyAlignment="1">
      <alignment horizontal="right"/>
    </xf>
    <xf numFmtId="0" fontId="15" fillId="15" borderId="5" xfId="0" applyFont="1" applyFill="1" applyBorder="1"/>
    <xf numFmtId="0" fontId="15" fillId="15" borderId="6" xfId="0" applyFont="1" applyFill="1" applyBorder="1"/>
    <xf numFmtId="4" fontId="15" fillId="15" borderId="7" xfId="0" applyNumberFormat="1" applyFont="1" applyFill="1" applyBorder="1"/>
    <xf numFmtId="4" fontId="0" fillId="10" borderId="0" xfId="0" applyNumberFormat="1" applyFill="1"/>
    <xf numFmtId="0" fontId="0" fillId="10" borderId="0" xfId="0" applyFill="1" applyAlignment="1">
      <alignment horizontal="right"/>
    </xf>
    <xf numFmtId="0" fontId="0" fillId="6" borderId="0" xfId="0" applyFill="1" applyAlignment="1">
      <alignment horizontal="right"/>
    </xf>
    <xf numFmtId="4" fontId="0" fillId="6" borderId="0" xfId="0" applyNumberFormat="1" applyFill="1"/>
    <xf numFmtId="0" fontId="0" fillId="4" borderId="0" xfId="0" applyFill="1" applyAlignment="1">
      <alignment horizontal="right"/>
    </xf>
    <xf numFmtId="4" fontId="0" fillId="4" borderId="0" xfId="0" applyNumberFormat="1" applyFill="1"/>
    <xf numFmtId="0" fontId="1" fillId="0" borderId="11" xfId="0" applyFont="1" applyBorder="1" applyAlignment="1">
      <alignment horizontal="left" vertical="center" wrapText="1"/>
    </xf>
    <xf numFmtId="49" fontId="1" fillId="0" borderId="10" xfId="0" applyNumberFormat="1" applyFont="1" applyBorder="1" applyAlignment="1" applyProtection="1">
      <alignment horizontal="left" vertical="center"/>
      <protection locked="0"/>
    </xf>
    <xf numFmtId="0" fontId="1" fillId="9" borderId="1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4" fontId="14" fillId="11" borderId="9" xfId="0" applyNumberFormat="1" applyFont="1" applyFill="1" applyBorder="1"/>
    <xf numFmtId="4" fontId="15" fillId="13" borderId="13" xfId="0" applyNumberFormat="1" applyFont="1" applyFill="1" applyBorder="1"/>
    <xf numFmtId="4" fontId="14" fillId="14" borderId="9" xfId="0" applyNumberFormat="1" applyFont="1" applyFill="1" applyBorder="1"/>
    <xf numFmtId="4" fontId="15" fillId="16" borderId="13" xfId="0" applyNumberFormat="1" applyFont="1" applyFill="1" applyBorder="1"/>
    <xf numFmtId="0" fontId="15" fillId="18" borderId="0" xfId="0" applyFont="1" applyFill="1" applyAlignment="1">
      <alignment horizontal="right"/>
    </xf>
    <xf numFmtId="4" fontId="15" fillId="18" borderId="0" xfId="0" applyNumberFormat="1" applyFont="1" applyFill="1"/>
    <xf numFmtId="0" fontId="15" fillId="18" borderId="5" xfId="0" applyFont="1" applyFill="1" applyBorder="1"/>
    <xf numFmtId="0" fontId="15" fillId="18" borderId="6" xfId="0" applyFont="1" applyFill="1" applyBorder="1"/>
    <xf numFmtId="4" fontId="15" fillId="12" borderId="1" xfId="0" applyNumberFormat="1" applyFont="1" applyFill="1" applyBorder="1"/>
    <xf numFmtId="4" fontId="15" fillId="17" borderId="7" xfId="0" applyNumberFormat="1" applyFont="1" applyFill="1" applyBorder="1"/>
    <xf numFmtId="14" fontId="1" fillId="0" borderId="3" xfId="0" applyNumberFormat="1" applyFont="1" applyBorder="1" applyAlignment="1" applyProtection="1">
      <protection locked="0"/>
    </xf>
    <xf numFmtId="14" fontId="1" fillId="3" borderId="0" xfId="0" applyNumberFormat="1" applyFont="1" applyFill="1" applyAlignment="1"/>
    <xf numFmtId="0" fontId="1" fillId="0" borderId="3" xfId="0" applyFont="1" applyBorder="1" applyAlignment="1" applyProtection="1">
      <alignment vertical="top" wrapText="1"/>
      <protection locked="0"/>
    </xf>
    <xf numFmtId="14" fontId="1" fillId="0" borderId="3" xfId="0" applyNumberFormat="1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>
      <alignment vertical="center"/>
    </xf>
    <xf numFmtId="49" fontId="1" fillId="4" borderId="3" xfId="0" applyNumberFormat="1" applyFont="1" applyFill="1" applyBorder="1" applyAlignment="1" applyProtection="1">
      <alignment vertical="center"/>
      <protection locked="0"/>
    </xf>
    <xf numFmtId="0" fontId="6" fillId="8" borderId="0" xfId="0" applyFont="1" applyFill="1"/>
    <xf numFmtId="4" fontId="4" fillId="0" borderId="3" xfId="0" applyNumberFormat="1" applyFont="1" applyBorder="1" applyAlignment="1">
      <alignment horizontal="right"/>
    </xf>
    <xf numFmtId="0" fontId="9" fillId="8" borderId="0" xfId="0" applyFont="1" applyFill="1"/>
    <xf numFmtId="4" fontId="3" fillId="0" borderId="1" xfId="0" applyNumberFormat="1" applyFont="1" applyBorder="1" applyProtection="1">
      <protection locked="0"/>
    </xf>
    <xf numFmtId="4" fontId="3" fillId="0" borderId="1" xfId="0" applyNumberFormat="1" applyFont="1" applyBorder="1" applyAlignment="1" applyProtection="1">
      <alignment vertical="center"/>
      <protection locked="0"/>
    </xf>
    <xf numFmtId="0" fontId="6" fillId="6" borderId="0" xfId="0" applyFont="1" applyFill="1"/>
    <xf numFmtId="0" fontId="3" fillId="0" borderId="0" xfId="0" applyFont="1"/>
    <xf numFmtId="0" fontId="16" fillId="0" borderId="0" xfId="0" applyFont="1"/>
    <xf numFmtId="14" fontId="17" fillId="6" borderId="1" xfId="0" applyNumberFormat="1" applyFont="1" applyFill="1" applyBorder="1" applyAlignment="1" applyProtection="1">
      <alignment horizontal="left"/>
      <protection locked="0"/>
    </xf>
    <xf numFmtId="0" fontId="17" fillId="6" borderId="1" xfId="0" applyFont="1" applyFill="1" applyBorder="1"/>
    <xf numFmtId="49" fontId="17" fillId="6" borderId="1" xfId="0" applyNumberFormat="1" applyFont="1" applyFill="1" applyBorder="1" applyAlignment="1" applyProtection="1">
      <alignment vertical="center"/>
      <protection locked="0"/>
    </xf>
    <xf numFmtId="49" fontId="17" fillId="6" borderId="1" xfId="0" applyNumberFormat="1" applyFont="1" applyFill="1" applyBorder="1" applyAlignment="1" applyProtection="1">
      <alignment horizontal="center" vertical="center"/>
      <protection locked="0"/>
    </xf>
    <xf numFmtId="1" fontId="17" fillId="6" borderId="1" xfId="0" applyNumberFormat="1" applyFont="1" applyFill="1" applyBorder="1" applyAlignment="1" applyProtection="1">
      <alignment horizontal="center" vertical="center"/>
      <protection locked="0"/>
    </xf>
    <xf numFmtId="0" fontId="17" fillId="6" borderId="1" xfId="0" applyFont="1" applyFill="1" applyBorder="1" applyProtection="1">
      <protection locked="0"/>
    </xf>
    <xf numFmtId="2" fontId="17" fillId="6" borderId="1" xfId="0" applyNumberFormat="1" applyFont="1" applyFill="1" applyBorder="1" applyProtection="1">
      <protection locked="0"/>
    </xf>
    <xf numFmtId="4" fontId="17" fillId="6" borderId="1" xfId="0" applyNumberFormat="1" applyFont="1" applyFill="1" applyBorder="1" applyProtection="1">
      <protection locked="0"/>
    </xf>
    <xf numFmtId="0" fontId="17" fillId="6" borderId="0" xfId="0" applyFont="1" applyFill="1"/>
    <xf numFmtId="4" fontId="17" fillId="6" borderId="0" xfId="0" applyNumberFormat="1" applyFont="1" applyFill="1"/>
    <xf numFmtId="0" fontId="18" fillId="6" borderId="1" xfId="0" applyFont="1" applyFill="1" applyBorder="1" applyAlignment="1">
      <alignment wrapText="1"/>
    </xf>
    <xf numFmtId="49" fontId="17" fillId="6" borderId="10" xfId="0" applyNumberFormat="1" applyFont="1" applyFill="1" applyBorder="1" applyAlignment="1" applyProtection="1">
      <alignment vertical="center"/>
      <protection locked="0"/>
    </xf>
    <xf numFmtId="14" fontId="17" fillId="6" borderId="10" xfId="0" applyNumberFormat="1" applyFont="1" applyFill="1" applyBorder="1" applyAlignment="1" applyProtection="1">
      <alignment horizontal="left"/>
      <protection locked="0"/>
    </xf>
    <xf numFmtId="0" fontId="17" fillId="6" borderId="10" xfId="0" applyFont="1" applyFill="1" applyBorder="1"/>
    <xf numFmtId="0" fontId="17" fillId="6" borderId="1" xfId="0" applyFont="1" applyFill="1" applyBorder="1" applyAlignment="1">
      <alignment vertical="center"/>
    </xf>
    <xf numFmtId="4" fontId="17" fillId="6" borderId="1" xfId="0" applyNumberFormat="1" applyFont="1" applyFill="1" applyBorder="1" applyAlignment="1" applyProtection="1">
      <alignment vertical="center"/>
      <protection locked="0"/>
    </xf>
    <xf numFmtId="14" fontId="17" fillId="6" borderId="1" xfId="0" applyNumberFormat="1" applyFont="1" applyFill="1" applyBorder="1" applyAlignment="1" applyProtection="1">
      <alignment horizontal="left" vertical="center"/>
      <protection locked="0"/>
    </xf>
    <xf numFmtId="0" fontId="18" fillId="6" borderId="1" xfId="0" applyFont="1" applyFill="1" applyBorder="1" applyAlignment="1">
      <alignment vertical="center" wrapText="1"/>
    </xf>
    <xf numFmtId="0" fontId="17" fillId="6" borderId="1" xfId="0" applyFont="1" applyFill="1" applyBorder="1" applyAlignment="1" applyProtection="1">
      <alignment vertical="center"/>
      <protection locked="0"/>
    </xf>
    <xf numFmtId="2" fontId="17" fillId="6" borderId="1" xfId="0" applyNumberFormat="1" applyFont="1" applyFill="1" applyBorder="1" applyAlignment="1" applyProtection="1">
      <alignment vertical="center"/>
      <protection locked="0"/>
    </xf>
    <xf numFmtId="0" fontId="17" fillId="6" borderId="0" xfId="0" applyFont="1" applyFill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2" fontId="0" fillId="0" borderId="0" xfId="0" applyNumberFormat="1"/>
    <xf numFmtId="14" fontId="3" fillId="19" borderId="2" xfId="0" applyNumberFormat="1" applyFont="1" applyFill="1" applyBorder="1" applyAlignment="1">
      <alignment horizontal="center" vertical="center" wrapText="1"/>
    </xf>
    <xf numFmtId="1" fontId="3" fillId="19" borderId="2" xfId="0" applyNumberFormat="1" applyFont="1" applyFill="1" applyBorder="1" applyAlignment="1">
      <alignment horizontal="center" vertical="center" wrapText="1"/>
    </xf>
    <xf numFmtId="4" fontId="3" fillId="19" borderId="2" xfId="0" applyNumberFormat="1" applyFont="1" applyFill="1" applyBorder="1" applyAlignment="1">
      <alignment horizontal="center" vertical="center" wrapText="1"/>
    </xf>
    <xf numFmtId="2" fontId="3" fillId="20" borderId="0" xfId="0" applyNumberFormat="1" applyFont="1" applyFill="1"/>
    <xf numFmtId="49" fontId="17" fillId="6" borderId="10" xfId="0" applyNumberFormat="1" applyFont="1" applyFill="1" applyBorder="1" applyAlignment="1" applyProtection="1">
      <alignment horizontal="center" vertical="center"/>
      <protection locked="0"/>
    </xf>
    <xf numFmtId="0" fontId="0" fillId="20" borderId="0" xfId="0" applyFill="1"/>
    <xf numFmtId="0" fontId="16" fillId="20" borderId="0" xfId="0" applyFont="1" applyFill="1"/>
    <xf numFmtId="0" fontId="0" fillId="4" borderId="0" xfId="0" applyFill="1" applyAlignment="1">
      <alignment horizontal="left"/>
    </xf>
    <xf numFmtId="2" fontId="0" fillId="4" borderId="0" xfId="0" applyNumberFormat="1" applyFill="1"/>
    <xf numFmtId="14" fontId="1" fillId="0" borderId="1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 applyProtection="1">
      <alignment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" fontId="1" fillId="0" borderId="1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Alignment="1">
      <alignment vertical="center"/>
    </xf>
    <xf numFmtId="0" fontId="3" fillId="0" borderId="0" xfId="0" applyFont="1" applyFill="1"/>
    <xf numFmtId="0" fontId="1" fillId="0" borderId="0" xfId="0" applyFont="1" applyFill="1"/>
    <xf numFmtId="0" fontId="6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>
      <alignment wrapText="1"/>
    </xf>
    <xf numFmtId="14" fontId="1" fillId="0" borderId="3" xfId="0" applyNumberFormat="1" applyFont="1" applyFill="1" applyBorder="1" applyAlignment="1" applyProtection="1">
      <alignment horizontal="left"/>
      <protection locked="0"/>
    </xf>
    <xf numFmtId="0" fontId="1" fillId="0" borderId="3" xfId="0" applyFont="1" applyFill="1" applyBorder="1"/>
    <xf numFmtId="49" fontId="1" fillId="0" borderId="3" xfId="0" applyNumberFormat="1" applyFont="1" applyFill="1" applyBorder="1" applyProtection="1">
      <protection locked="0"/>
    </xf>
    <xf numFmtId="1" fontId="1" fillId="0" borderId="3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Fill="1" applyBorder="1" applyProtection="1">
      <protection locked="0"/>
    </xf>
    <xf numFmtId="4" fontId="1" fillId="0" borderId="3" xfId="0" applyNumberFormat="1" applyFont="1" applyFill="1" applyBorder="1" applyProtection="1">
      <protection locked="0"/>
    </xf>
    <xf numFmtId="14" fontId="1" fillId="0" borderId="3" xfId="0" applyNumberFormat="1" applyFont="1" applyFill="1" applyBorder="1" applyAlignment="1" applyProtection="1">
      <alignment horizontal="left" vertical="center"/>
      <protection locked="0"/>
    </xf>
    <xf numFmtId="0" fontId="1" fillId="0" borderId="3" xfId="0" applyFont="1" applyFill="1" applyBorder="1" applyAlignment="1">
      <alignment vertical="center"/>
    </xf>
    <xf numFmtId="49" fontId="1" fillId="0" borderId="3" xfId="0" applyNumberFormat="1" applyFont="1" applyFill="1" applyBorder="1" applyAlignment="1" applyProtection="1">
      <alignment vertical="center"/>
      <protection locked="0"/>
    </xf>
    <xf numFmtId="164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wrapText="1"/>
      <protection locked="0"/>
    </xf>
    <xf numFmtId="14" fontId="1" fillId="0" borderId="3" xfId="0" applyNumberFormat="1" applyFont="1" applyFill="1" applyBorder="1" applyAlignment="1">
      <alignment horizontal="left"/>
    </xf>
    <xf numFmtId="4" fontId="4" fillId="0" borderId="3" xfId="0" applyNumberFormat="1" applyFont="1" applyFill="1" applyBorder="1" applyAlignment="1">
      <alignment horizontal="right"/>
    </xf>
    <xf numFmtId="14" fontId="1" fillId="0" borderId="2" xfId="0" applyNumberFormat="1" applyFont="1" applyFill="1" applyBorder="1" applyAlignment="1">
      <alignment horizontal="left"/>
    </xf>
    <xf numFmtId="0" fontId="1" fillId="0" borderId="17" xfId="0" applyFont="1" applyFill="1" applyBorder="1"/>
    <xf numFmtId="14" fontId="1" fillId="0" borderId="2" xfId="0" applyNumberFormat="1" applyFont="1" applyFill="1" applyBorder="1" applyAlignment="1" applyProtection="1">
      <alignment horizontal="left"/>
      <protection locked="0"/>
    </xf>
    <xf numFmtId="164" fontId="1" fillId="0" borderId="2" xfId="0" applyNumberFormat="1" applyFont="1" applyFill="1" applyBorder="1" applyAlignment="1" applyProtection="1">
      <alignment horizontal="center" wrapText="1"/>
      <protection locked="0"/>
    </xf>
    <xf numFmtId="0" fontId="1" fillId="0" borderId="2" xfId="0" applyFont="1" applyFill="1" applyBorder="1" applyAlignment="1" applyProtection="1">
      <alignment wrapText="1"/>
      <protection locked="0"/>
    </xf>
    <xf numFmtId="0" fontId="4" fillId="0" borderId="2" xfId="0" applyFont="1" applyFill="1" applyBorder="1" applyAlignment="1">
      <alignment horizontal="right"/>
    </xf>
    <xf numFmtId="2" fontId="1" fillId="0" borderId="2" xfId="0" applyNumberFormat="1" applyFont="1" applyFill="1" applyBorder="1" applyProtection="1">
      <protection locked="0"/>
    </xf>
    <xf numFmtId="4" fontId="1" fillId="0" borderId="2" xfId="0" applyNumberFormat="1" applyFont="1" applyFill="1" applyBorder="1" applyProtection="1">
      <protection locked="0"/>
    </xf>
    <xf numFmtId="0" fontId="1" fillId="0" borderId="12" xfId="0" applyFont="1" applyFill="1" applyBorder="1"/>
    <xf numFmtId="1" fontId="1" fillId="0" borderId="1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right"/>
    </xf>
    <xf numFmtId="2" fontId="1" fillId="0" borderId="3" xfId="0" applyNumberFormat="1" applyFont="1" applyFill="1" applyBorder="1" applyProtection="1">
      <protection locked="0"/>
    </xf>
    <xf numFmtId="1" fontId="1" fillId="0" borderId="13" xfId="0" applyNumberFormat="1" applyFont="1" applyFill="1" applyBorder="1" applyAlignment="1" applyProtection="1">
      <alignment horizontal="center"/>
      <protection locked="0"/>
    </xf>
    <xf numFmtId="0" fontId="12" fillId="0" borderId="1" xfId="1" applyFill="1" applyBorder="1" applyAlignment="1">
      <alignment horizontal="center" vertical="center" wrapText="1"/>
    </xf>
    <xf numFmtId="0" fontId="0" fillId="20" borderId="0" xfId="0" applyFill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4" fontId="1" fillId="0" borderId="3" xfId="0" applyNumberFormat="1" applyFont="1" applyBorder="1" applyAlignment="1" applyProtection="1">
      <alignment horizontal="center" vertical="center"/>
      <protection locked="0"/>
    </xf>
    <xf numFmtId="0" fontId="1" fillId="9" borderId="1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" fillId="9" borderId="14" xfId="0" applyFont="1" applyFill="1" applyBorder="1" applyAlignment="1">
      <alignment horizontal="center" vertical="center" wrapText="1"/>
    </xf>
    <xf numFmtId="0" fontId="1" fillId="9" borderId="15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 applyProtection="1">
      <alignment horizontal="center" vertical="center"/>
      <protection locked="0"/>
    </xf>
    <xf numFmtId="14" fontId="1" fillId="5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4" fontId="16" fillId="0" borderId="0" xfId="0" applyNumberFormat="1" applyFont="1"/>
    <xf numFmtId="0" fontId="0" fillId="0" borderId="0" xfId="0" applyAlignment="1">
      <alignment horizontal="right"/>
    </xf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right"/>
    </xf>
    <xf numFmtId="0" fontId="9" fillId="0" borderId="12" xfId="0" applyFont="1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13" xfId="0" applyNumberFormat="1" applyBorder="1"/>
    <xf numFmtId="0" fontId="0" fillId="0" borderId="12" xfId="0" applyBorder="1" applyAlignment="1">
      <alignment horizontal="right"/>
    </xf>
    <xf numFmtId="0" fontId="16" fillId="0" borderId="18" xfId="0" applyFont="1" applyBorder="1"/>
    <xf numFmtId="0" fontId="0" fillId="0" borderId="19" xfId="0" applyBorder="1"/>
    <xf numFmtId="0" fontId="0" fillId="0" borderId="12" xfId="0" applyBorder="1"/>
    <xf numFmtId="0" fontId="16" fillId="0" borderId="0" xfId="0" applyFont="1" applyBorder="1"/>
    <xf numFmtId="0" fontId="0" fillId="0" borderId="13" xfId="0" applyBorder="1"/>
    <xf numFmtId="2" fontId="0" fillId="0" borderId="12" xfId="0" applyNumberFormat="1" applyBorder="1"/>
    <xf numFmtId="4" fontId="3" fillId="21" borderId="1" xfId="0" applyNumberFormat="1" applyFont="1" applyFill="1" applyBorder="1" applyProtection="1">
      <protection locked="0"/>
    </xf>
    <xf numFmtId="0" fontId="16" fillId="0" borderId="5" xfId="0" applyFont="1" applyBorder="1" applyAlignment="1">
      <alignment horizontal="right"/>
    </xf>
    <xf numFmtId="0" fontId="16" fillId="0" borderId="6" xfId="0" applyFont="1" applyBorder="1"/>
    <xf numFmtId="0" fontId="16" fillId="0" borderId="6" xfId="0" applyFont="1" applyBorder="1" applyAlignment="1">
      <alignment horizontal="right"/>
    </xf>
    <xf numFmtId="2" fontId="16" fillId="0" borderId="7" xfId="0" applyNumberFormat="1" applyFont="1" applyBorder="1"/>
    <xf numFmtId="2" fontId="16" fillId="21" borderId="5" xfId="0" applyNumberFormat="1" applyFont="1" applyFill="1" applyBorder="1"/>
    <xf numFmtId="0" fontId="16" fillId="21" borderId="6" xfId="0" applyFont="1" applyFill="1" applyBorder="1" applyAlignment="1">
      <alignment horizontal="left"/>
    </xf>
    <xf numFmtId="0" fontId="16" fillId="21" borderId="6" xfId="0" applyFont="1" applyFill="1" applyBorder="1"/>
    <xf numFmtId="0" fontId="16" fillId="21" borderId="7" xfId="0" applyFont="1" applyFill="1" applyBorder="1"/>
    <xf numFmtId="2" fontId="0" fillId="0" borderId="0" xfId="0" applyNumberFormat="1" applyBorder="1"/>
    <xf numFmtId="2" fontId="0" fillId="0" borderId="0" xfId="0" applyNumberFormat="1" applyBorder="1" applyAlignment="1">
      <alignment horizontal="right"/>
    </xf>
    <xf numFmtId="0" fontId="15" fillId="16" borderId="5" xfId="0" applyFont="1" applyFill="1" applyBorder="1" applyAlignment="1">
      <alignment horizontal="center"/>
    </xf>
    <xf numFmtId="0" fontId="15" fillId="16" borderId="6" xfId="0" applyFont="1" applyFill="1" applyBorder="1" applyAlignment="1">
      <alignment horizontal="center"/>
    </xf>
    <xf numFmtId="0" fontId="15" fillId="13" borderId="5" xfId="0" applyFont="1" applyFill="1" applyBorder="1" applyAlignment="1">
      <alignment horizontal="center"/>
    </xf>
    <xf numFmtId="0" fontId="15" fillId="13" borderId="6" xfId="0" applyFont="1" applyFill="1" applyBorder="1" applyAlignment="1">
      <alignment horizontal="center"/>
    </xf>
    <xf numFmtId="1" fontId="3" fillId="0" borderId="5" xfId="0" applyNumberFormat="1" applyFont="1" applyBorder="1" applyAlignment="1" applyProtection="1">
      <alignment horizontal="right" vertical="center"/>
      <protection locked="0"/>
    </xf>
    <xf numFmtId="1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 applyProtection="1">
      <alignment horizontal="center" vertical="top" wrapText="1"/>
      <protection locked="0"/>
    </xf>
    <xf numFmtId="14" fontId="3" fillId="3" borderId="0" xfId="0" applyNumberFormat="1" applyFont="1" applyFill="1" applyAlignment="1">
      <alignment horizontal="left" vertical="top"/>
    </xf>
    <xf numFmtId="1" fontId="1" fillId="0" borderId="5" xfId="0" applyNumberFormat="1" applyFont="1" applyBorder="1" applyAlignment="1">
      <alignment horizontal="left"/>
    </xf>
    <xf numFmtId="1" fontId="1" fillId="0" borderId="6" xfId="0" applyNumberFormat="1" applyFont="1" applyBorder="1" applyAlignment="1">
      <alignment horizontal="left"/>
    </xf>
    <xf numFmtId="1" fontId="1" fillId="0" borderId="7" xfId="0" applyNumberFormat="1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3" fillId="4" borderId="5" xfId="0" applyFont="1" applyFill="1" applyBorder="1" applyAlignment="1" applyProtection="1">
      <alignment horizontal="center"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1" fontId="3" fillId="3" borderId="8" xfId="0" applyNumberFormat="1" applyFont="1" applyFill="1" applyBorder="1" applyAlignment="1">
      <alignment horizontal="center" vertical="center" wrapText="1"/>
    </xf>
    <xf numFmtId="1" fontId="3" fillId="3" borderId="9" xfId="0" applyNumberFormat="1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center" vertical="center" wrapText="1"/>
    </xf>
    <xf numFmtId="2" fontId="19" fillId="9" borderId="1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49" fontId="20" fillId="22" borderId="21" xfId="0" applyNumberFormat="1" applyFont="1" applyFill="1" applyBorder="1" applyAlignment="1">
      <alignment horizontal="left" vertical="center"/>
    </xf>
    <xf numFmtId="0" fontId="21" fillId="22" borderId="0" xfId="0" applyFont="1" applyFill="1" applyAlignment="1">
      <alignment horizontal="left"/>
    </xf>
    <xf numFmtId="49" fontId="22" fillId="22" borderId="21" xfId="0" applyNumberFormat="1" applyFont="1" applyFill="1" applyBorder="1" applyAlignment="1">
      <alignment horizontal="left" vertical="top" wrapText="1"/>
    </xf>
    <xf numFmtId="49" fontId="23" fillId="23" borderId="22" xfId="0" applyNumberFormat="1" applyFont="1" applyFill="1" applyBorder="1" applyAlignment="1">
      <alignment horizontal="center" vertical="center" wrapText="1"/>
    </xf>
    <xf numFmtId="49" fontId="23" fillId="24" borderId="22" xfId="0" applyNumberFormat="1" applyFont="1" applyFill="1" applyBorder="1" applyAlignment="1">
      <alignment horizontal="left"/>
    </xf>
    <xf numFmtId="49" fontId="21" fillId="25" borderId="23" xfId="0" applyNumberFormat="1" applyFont="1" applyFill="1" applyBorder="1" applyAlignment="1">
      <alignment horizontal="left" vertical="center"/>
    </xf>
    <xf numFmtId="49" fontId="21" fillId="25" borderId="23" xfId="0" applyNumberFormat="1" applyFont="1" applyFill="1" applyBorder="1" applyAlignment="1">
      <alignment horizontal="left"/>
    </xf>
    <xf numFmtId="4" fontId="21" fillId="25" borderId="23" xfId="0" applyNumberFormat="1" applyFont="1" applyFill="1" applyBorder="1" applyAlignment="1">
      <alignment horizontal="right"/>
    </xf>
    <xf numFmtId="169" fontId="21" fillId="25" borderId="23" xfId="0" applyNumberFormat="1" applyFont="1" applyFill="1" applyBorder="1" applyAlignment="1">
      <alignment horizontal="right"/>
    </xf>
    <xf numFmtId="0" fontId="24" fillId="26" borderId="24" xfId="0" applyFont="1" applyFill="1" applyBorder="1" applyAlignment="1">
      <alignment horizontal="left" vertical="center"/>
    </xf>
    <xf numFmtId="0" fontId="24" fillId="26" borderId="24" xfId="0" applyFont="1" applyFill="1" applyBorder="1" applyAlignment="1">
      <alignment horizontal="left"/>
    </xf>
    <xf numFmtId="49" fontId="24" fillId="26" borderId="24" xfId="0" applyNumberFormat="1" applyFont="1" applyFill="1" applyBorder="1" applyAlignment="1">
      <alignment horizontal="left"/>
    </xf>
    <xf numFmtId="4" fontId="24" fillId="26" borderId="24" xfId="0" applyNumberFormat="1" applyFont="1" applyFill="1" applyBorder="1" applyAlignment="1">
      <alignment horizontal="right"/>
    </xf>
    <xf numFmtId="169" fontId="24" fillId="26" borderId="24" xfId="0" applyNumberFormat="1" applyFont="1" applyFill="1" applyBorder="1" applyAlignment="1">
      <alignment horizontal="right"/>
    </xf>
    <xf numFmtId="0" fontId="24" fillId="22" borderId="24" xfId="0" applyFont="1" applyFill="1" applyBorder="1" applyAlignment="1">
      <alignment horizontal="left" vertical="center"/>
    </xf>
    <xf numFmtId="0" fontId="24" fillId="22" borderId="24" xfId="0" applyFont="1" applyFill="1" applyBorder="1" applyAlignment="1">
      <alignment horizontal="left"/>
    </xf>
    <xf numFmtId="49" fontId="24" fillId="22" borderId="24" xfId="0" applyNumberFormat="1" applyFont="1" applyFill="1" applyBorder="1" applyAlignment="1">
      <alignment horizontal="left"/>
    </xf>
    <xf numFmtId="4" fontId="24" fillId="22" borderId="24" xfId="0" applyNumberFormat="1" applyFont="1" applyFill="1" applyBorder="1" applyAlignment="1">
      <alignment horizontal="right"/>
    </xf>
    <xf numFmtId="169" fontId="24" fillId="22" borderId="24" xfId="0" applyNumberFormat="1" applyFont="1" applyFill="1" applyBorder="1" applyAlignment="1">
      <alignment horizontal="right"/>
    </xf>
    <xf numFmtId="49" fontId="21" fillId="22" borderId="23" xfId="0" applyNumberFormat="1" applyFont="1" applyFill="1" applyBorder="1" applyAlignment="1">
      <alignment horizontal="left" vertical="center"/>
    </xf>
    <xf numFmtId="49" fontId="21" fillId="22" borderId="23" xfId="0" applyNumberFormat="1" applyFont="1" applyFill="1" applyBorder="1" applyAlignment="1">
      <alignment horizontal="left"/>
    </xf>
    <xf numFmtId="4" fontId="21" fillId="22" borderId="23" xfId="0" applyNumberFormat="1" applyFont="1" applyFill="1" applyBorder="1" applyAlignment="1">
      <alignment horizontal="right"/>
    </xf>
    <xf numFmtId="169" fontId="21" fillId="22" borderId="23" xfId="0" applyNumberFormat="1" applyFont="1" applyFill="1" applyBorder="1" applyAlignment="1">
      <alignment horizontal="right"/>
    </xf>
    <xf numFmtId="49" fontId="26" fillId="22" borderId="21" xfId="0" applyNumberFormat="1" applyFont="1" applyFill="1" applyBorder="1" applyAlignment="1">
      <alignment horizontal="left" vertic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27" fillId="9" borderId="1" xfId="0" applyFont="1" applyFill="1" applyBorder="1" applyAlignment="1">
      <alignment horizontal="right" vertical="center" wrapText="1"/>
    </xf>
    <xf numFmtId="0" fontId="19" fillId="9" borderId="2" xfId="0" applyFont="1" applyFill="1" applyBorder="1" applyAlignment="1">
      <alignment horizontal="center" vertical="center" wrapText="1"/>
    </xf>
    <xf numFmtId="0" fontId="19" fillId="9" borderId="2" xfId="0" applyFont="1" applyFill="1" applyBorder="1" applyAlignment="1">
      <alignment horizontal="right" vertical="center" wrapText="1"/>
    </xf>
    <xf numFmtId="0" fontId="0" fillId="0" borderId="25" xfId="0" applyBorder="1"/>
    <xf numFmtId="0" fontId="0" fillId="0" borderId="26" xfId="0" applyBorder="1"/>
    <xf numFmtId="0" fontId="15" fillId="27" borderId="27" xfId="0" applyFont="1" applyFill="1" applyBorder="1" applyAlignment="1">
      <alignment horizontal="center" vertical="center" wrapText="1"/>
    </xf>
    <xf numFmtId="2" fontId="15" fillId="27" borderId="27" xfId="0" applyNumberFormat="1" applyFont="1" applyFill="1" applyBorder="1" applyAlignment="1">
      <alignment horizontal="right" vertical="center" wrapText="1"/>
    </xf>
    <xf numFmtId="0" fontId="16" fillId="27" borderId="26" xfId="0" applyFont="1" applyFill="1" applyBorder="1"/>
    <xf numFmtId="0" fontId="16" fillId="0" borderId="26" xfId="0" applyFont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9" fontId="0" fillId="0" borderId="32" xfId="0" applyNumberFormat="1" applyBorder="1"/>
    <xf numFmtId="2" fontId="16" fillId="27" borderId="32" xfId="0" applyNumberFormat="1" applyFont="1" applyFill="1" applyBorder="1"/>
    <xf numFmtId="0" fontId="16" fillId="27" borderId="32" xfId="0" applyFont="1" applyFill="1" applyBorder="1"/>
    <xf numFmtId="0" fontId="0" fillId="0" borderId="33" xfId="0" applyBorder="1"/>
    <xf numFmtId="4" fontId="16" fillId="27" borderId="0" xfId="0" applyNumberFormat="1" applyFont="1" applyFill="1"/>
  </cellXfs>
  <cellStyles count="3">
    <cellStyle name="Normaallaad" xfId="0" builtinId="0"/>
    <cellStyle name="Normal 168" xfId="1" xr:uid="{D3A1848B-C5F5-4F04-8245-C17037D25DE0}"/>
    <cellStyle name="Normal 2" xfId="2" xr:uid="{283BA7C3-16EA-48CB-963C-8503BB8430D0}"/>
  </cellStyles>
  <dxfs count="3">
    <dxf>
      <fill>
        <patternFill patternType="solid">
          <bgColor theme="9" tint="0.79998168889431442"/>
        </patternFill>
      </fill>
    </dxf>
    <dxf>
      <numFmt numFmtId="2" formatCode="0.0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ilin Ojang" refreshedDate="45835.496370717592" createdVersion="7" refreshedVersion="7" minRefreshableVersion="3" recordCount="105" xr:uid="{B337C52F-8FD8-437E-B6CF-B2833D1E83B8}">
  <cacheSource type="worksheet">
    <worksheetSource ref="A2:P107" sheet="MT01-MT08 kokku"/>
  </cacheSource>
  <cacheFields count="16">
    <cacheField name="Ref.no" numFmtId="14">
      <sharedItems containsNonDate="0" containsDate="1" containsString="0" containsBlank="1" minDate="2022-10-19T00:00:00" maxDate="2025-01-01T00:00:00"/>
    </cacheField>
    <cacheField name="Date of invoice (dd.mm.yyyy)" numFmtId="14">
      <sharedItems containsNonDate="0" containsDate="1" containsString="0" containsBlank="1" minDate="2022-10-19T00:00:00" maxDate="2025-01-01T00:00:00"/>
    </cacheField>
    <cacheField name="Date of payment (dd.mm.yyyy)" numFmtId="14">
      <sharedItems containsNonDate="0" containsDate="1" containsString="0" containsBlank="1" minDate="2022-10-25T00:00:00" maxDate="2025-01-11T00:00:00"/>
    </cacheField>
    <cacheField name="Cash/Bank**" numFmtId="0">
      <sharedItems containsBlank="1"/>
    </cacheField>
    <cacheField name="Budget line" numFmtId="0">
      <sharedItems containsBlank="1" count="11">
        <m/>
        <s v="C1"/>
        <s v="E"/>
        <s v="A1"/>
        <s v="C3"/>
        <s v="C1a"/>
        <s v="C3; C1a"/>
        <s v="C1a; C3"/>
        <s v="C4"/>
        <s v="C5"/>
        <s v="Beneficiary 5" u="1"/>
      </sharedItems>
    </cacheField>
    <cacheField name="Budget line reference" numFmtId="0">
      <sharedItems containsBlank="1"/>
    </cacheField>
    <cacheField name="Name of supplier (as per invoice)" numFmtId="0">
      <sharedItems containsBlank="1"/>
    </cacheField>
    <cacheField name="Description" numFmtId="0">
      <sharedItems longText="1"/>
    </cacheField>
    <cacheField name="INCOME _x000a_(in local currency)" numFmtId="0">
      <sharedItems containsString="0" containsBlank="1" containsNumber="1" minValue="80197.8" maxValue="80197.8"/>
    </cacheField>
    <cacheField name="EXPENSE_x000a_(in local currency)" numFmtId="0">
      <sharedItems containsString="0" containsBlank="1" containsNumber="1" minValue="8.35" maxValue="11340"/>
    </cacheField>
    <cacheField name="Exchange rate Inforeuro*" numFmtId="0">
      <sharedItems containsNonDate="0" containsString="0" containsBlank="1"/>
    </cacheField>
    <cacheField name="INCOME _x000a_(in EUR)" numFmtId="4">
      <sharedItems containsString="0" containsBlank="1" containsNumber="1" minValue="80197.8" maxValue="80197.8"/>
    </cacheField>
    <cacheField name="EXPENSE_x000a_(in EUR)" numFmtId="4">
      <sharedItems containsSemiMixedTypes="0" containsString="0" containsNumber="1" minValue="0" maxValue="11340"/>
    </cacheField>
    <cacheField name="MT" numFmtId="0">
      <sharedItems containsBlank="1"/>
    </cacheField>
    <cacheField name="Periood" numFmtId="0">
      <sharedItems containsBlank="1"/>
    </cacheField>
    <cacheField name="MT kokku" numFmtId="0">
      <sharedItems containsString="0" containsBlank="1" containsNumber="1" minValue="804.29759999999999" maxValue="15339.241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5">
  <r>
    <d v="2022-10-25T00:00:00"/>
    <m/>
    <d v="2022-10-25T00:00:00"/>
    <s v="Bank"/>
    <x v="0"/>
    <m/>
    <m/>
    <s v="Balance brought forward from previous month:"/>
    <n v="80197.8"/>
    <m/>
    <m/>
    <n v="80197.8"/>
    <n v="0"/>
    <m/>
    <m/>
    <m/>
  </r>
  <r>
    <d v="2022-10-19T00:00:00"/>
    <d v="2022-10-19T00:00:00"/>
    <d v="2022-11-28T00:00:00"/>
    <s v="Bank"/>
    <x v="1"/>
    <s v="C1"/>
    <s v="Reisieksperdi Aktsiaselts"/>
    <s v="SIB/Kick off meeting - flights for participants. Reisieksperdi AS invoice nr BU22-5487, Helerin Välba and Annegrete Johanson travel costs from Tallinn-Bucharest-Tallinn for the i-Restore 2.0 Kick Off meeting 13.11.-17.11.2022. "/>
    <m/>
    <n v="516.08000000000004"/>
    <m/>
    <m/>
    <n v="516.08000000000004"/>
    <s v="MT01"/>
    <s v="Oct-Dec22"/>
    <m/>
  </r>
  <r>
    <d v="2022-11-17T00:00:00"/>
    <d v="2022-11-17T00:00:00"/>
    <d v="2022-12-02T00:00:00"/>
    <s v="Bank"/>
    <x v="1"/>
    <s v="C1"/>
    <s v=" Social Insurance Board"/>
    <s v="SIB/Rapid needs assessment 2 experts. Foreign assignment arrangement - expense report (T300-LK/726-K1):  Annegrete Johanson daily allowance from Tallinn-Bucharest-Tallinn for the i-Restore 2.0 Kick Off meeting 13.11.-17.11.2022."/>
    <m/>
    <n v="117.8"/>
    <m/>
    <m/>
    <n v="117.8"/>
    <s v="MT01"/>
    <s v="Oct-Dec22"/>
    <m/>
  </r>
  <r>
    <d v="2022-11-17T00:00:00"/>
    <d v="2022-11-17T00:00:00"/>
    <d v="2022-12-08T00:00:00"/>
    <s v="Bank"/>
    <x v="1"/>
    <s v="C1"/>
    <s v=" Social Insurance Board"/>
    <s v="SIB/Rapid needs assessment 2 experts. Foreign assignment arrangement - expense report (T300-LK/725-K1): Helerin Välba daily allowance and travel costs (Taxi rides in Bucharest) from Tallinn-Bucharest-Tallinn for the i-Restore 2.0 Kick Off meeting 13.11.-17.11.2022. "/>
    <m/>
    <n v="117.8"/>
    <m/>
    <m/>
    <n v="117.8"/>
    <s v="MT01"/>
    <s v="Oct-Dec22"/>
    <m/>
  </r>
  <r>
    <d v="2022-12-31T00:00:00"/>
    <d v="2022-12-31T00:00:00"/>
    <d v="2022-12-31T00:00:00"/>
    <m/>
    <x v="2"/>
    <s v="E"/>
    <s v=" Social Insurance Board"/>
    <s v="Indirect costs (7%)"/>
    <m/>
    <n v="52.617600000000003"/>
    <m/>
    <m/>
    <n v="52.617600000000003"/>
    <s v="MT01"/>
    <s v="Oct-Dec22"/>
    <n v="804.29759999999999"/>
  </r>
  <r>
    <d v="2023-01-31T00:00:00"/>
    <d v="2023-01-31T00:00:00"/>
    <d v="2023-01-31T00:00:00"/>
    <s v="Bank"/>
    <x v="3"/>
    <s v="A1"/>
    <s v="Social Insurance Board"/>
    <s v="Annegrete Johanson - salary January 2023"/>
    <m/>
    <n v="422.68"/>
    <m/>
    <m/>
    <n v="422.68"/>
    <s v="MT02"/>
    <s v="Jan-Mar23"/>
    <m/>
  </r>
  <r>
    <d v="2023-02-28T00:00:00"/>
    <d v="2023-02-28T00:00:00"/>
    <d v="2023-02-28T00:00:00"/>
    <s v="Bank"/>
    <x v="3"/>
    <s v="A1"/>
    <s v="Social Insurance Board"/>
    <s v="Annegrete Johanson - salary February 2023"/>
    <m/>
    <n v="422.68"/>
    <m/>
    <m/>
    <n v="422.68"/>
    <s v="MT02"/>
    <s v="Jan-Mar23"/>
    <m/>
  </r>
  <r>
    <d v="2023-03-31T00:00:00"/>
    <d v="2023-03-31T00:00:00"/>
    <d v="2023-03-31T00:00:00"/>
    <s v="Bank"/>
    <x v="3"/>
    <s v="A1"/>
    <s v="Social Insurance Board"/>
    <s v="Annegrete Johanson - salary March 2023"/>
    <m/>
    <n v="422.68"/>
    <m/>
    <m/>
    <n v="422.68"/>
    <s v="MT02"/>
    <s v="Jan-Mar23"/>
    <m/>
  </r>
  <r>
    <d v="2023-01-31T00:00:00"/>
    <d v="2023-01-31T00:00:00"/>
    <d v="2023-01-31T00:00:00"/>
    <s v="Bank"/>
    <x v="3"/>
    <s v="A1"/>
    <s v="Social Insurance Board"/>
    <s v="Helerin Välba - salary January 2023"/>
    <m/>
    <n v="455.18"/>
    <m/>
    <m/>
    <n v="455.18"/>
    <s v="MT02"/>
    <s v="Jan-Mar23"/>
    <m/>
  </r>
  <r>
    <d v="2023-02-28T00:00:00"/>
    <d v="2023-02-28T00:00:00"/>
    <d v="2023-02-28T00:00:00"/>
    <s v="Bank"/>
    <x v="3"/>
    <s v="A1"/>
    <s v="Social Insurance Board"/>
    <s v="Helerin Välba- salary February 2023"/>
    <m/>
    <n v="455.18"/>
    <m/>
    <m/>
    <n v="455.18"/>
    <s v="MT02"/>
    <s v="Jan-Mar23"/>
    <m/>
  </r>
  <r>
    <d v="2023-03-31T00:00:00"/>
    <d v="2023-03-31T00:00:00"/>
    <d v="2023-03-31T00:00:00"/>
    <s v="Bank"/>
    <x v="3"/>
    <s v="A1"/>
    <s v="Social Insurance Board"/>
    <s v="Helerin Välba - salary March 2023"/>
    <m/>
    <n v="455.18"/>
    <m/>
    <m/>
    <n v="455.18"/>
    <s v="MT02"/>
    <s v="Jan-Mar23"/>
    <m/>
  </r>
  <r>
    <d v="2022-12-31T00:00:00"/>
    <d v="2022-12-31T00:00:00"/>
    <d v="2023-01-31T00:00:00"/>
    <s v="Bank"/>
    <x v="3"/>
    <s v="A1"/>
    <s v="Social Insurance Board"/>
    <s v="Annegrete Johanson - salary December 2022"/>
    <m/>
    <n v="531.66999999999996"/>
    <m/>
    <m/>
    <n v="531.66999999999996"/>
    <s v="MT02"/>
    <s v="Jan-Mar23"/>
    <m/>
  </r>
  <r>
    <d v="2022-12-31T00:00:00"/>
    <d v="2022-12-31T00:00:00"/>
    <d v="2023-01-31T00:00:00"/>
    <s v="Bank"/>
    <x v="3"/>
    <s v="A1"/>
    <s v="Social Insurance Board"/>
    <s v="Helerin Välba - salary December 2022"/>
    <m/>
    <n v="452.43"/>
    <m/>
    <m/>
    <n v="452.43"/>
    <s v="MT02"/>
    <s v="Jan-Mar23"/>
    <m/>
  </r>
  <r>
    <d v="2023-02-08T00:00:00"/>
    <d v="2023-02-08T00:00:00"/>
    <d v="2023-03-10T00:00:00"/>
    <s v="Bank"/>
    <x v="4"/>
    <s v="C3"/>
    <s v="Sunny Galandrex Tõlkebüroo OÜ"/>
    <s v="... . Sunny Galandrex Tõlkebüroo OÜ invoice 2274109. i-RESTORE e-learning text for translation + module 1-14 + iRestore_elearning_graphic elements_translation."/>
    <m/>
    <n v="831.8"/>
    <m/>
    <m/>
    <n v="831.8"/>
    <s v="MT02"/>
    <s v="Jan-Mar23"/>
    <m/>
  </r>
  <r>
    <d v="2023-01-30T00:00:00"/>
    <d v="2023-01-30T00:00:00"/>
    <d v="2023-02-28T00:00:00"/>
    <s v="Bank"/>
    <x v="4"/>
    <s v="C3"/>
    <s v="Reisieksperdi Aktsiaselts"/>
    <s v="...flights for participants. Reisieksperdi AS invoice nr BU23-334, Annegrete Johanson and Stanislav Solodov travel costs from Tallinn-Bucharest-Tallinn 10-12.05.2023."/>
    <m/>
    <n v="388"/>
    <m/>
    <m/>
    <n v="388"/>
    <s v="MT02"/>
    <s v="Jan-Mar23"/>
    <m/>
  </r>
  <r>
    <d v="2023-03-31T00:00:00"/>
    <d v="2023-03-31T00:00:00"/>
    <d v="2023-03-31T00:00:00"/>
    <m/>
    <x v="2"/>
    <s v="E"/>
    <s v=" Social Insurance Board"/>
    <s v="Indirect costs (7%)"/>
    <m/>
    <n v="338.62360000000001"/>
    <m/>
    <m/>
    <n v="338.62360000000001"/>
    <s v="MT02"/>
    <s v="Jan-Mar23"/>
    <n v="5176.1035999999995"/>
  </r>
  <r>
    <d v="2023-04-28T00:00:00"/>
    <m/>
    <m/>
    <s v="Bank"/>
    <x v="3"/>
    <s v="A1.5.01"/>
    <s v="Social Insurance Board"/>
    <s v="Annegrete Johanson - salary April 2023, WP1"/>
    <m/>
    <n v="116.83000000000001"/>
    <m/>
    <m/>
    <n v="116.83000000000001"/>
    <s v="MT03"/>
    <s v="Apr-Jun23"/>
    <m/>
  </r>
  <r>
    <d v="2023-04-28T00:00:00"/>
    <m/>
    <m/>
    <s v="Bank"/>
    <x v="3"/>
    <s v="A1.5.02"/>
    <s v="Social Insurance Board"/>
    <s v="Annegrete Johanson - salary April 2023, WP2"/>
    <m/>
    <n v="25.035000000000004"/>
    <m/>
    <m/>
    <n v="25.035000000000004"/>
    <s v="MT03"/>
    <s v="Apr-Jun23"/>
    <m/>
  </r>
  <r>
    <d v="2023-04-28T00:00:00"/>
    <m/>
    <m/>
    <s v="Bank"/>
    <x v="3"/>
    <s v="A1.5.03"/>
    <s v="Social Insurance Board"/>
    <s v="Annegrete Johanson - salary April 2023, WP3"/>
    <m/>
    <n v="22.197700000000005"/>
    <m/>
    <m/>
    <n v="22.197700000000005"/>
    <s v="MT03"/>
    <s v="Apr-Jun23"/>
    <m/>
  </r>
  <r>
    <d v="2023-04-28T00:00:00"/>
    <m/>
    <m/>
    <s v="Bank"/>
    <x v="3"/>
    <s v="A1.5.04"/>
    <s v="Social Insurance Board"/>
    <s v="Annegrete Johanson - salary April 2023, WP4"/>
    <m/>
    <n v="175.245"/>
    <m/>
    <m/>
    <n v="175.245"/>
    <s v="MT03"/>
    <s v="Apr-Jun23"/>
    <m/>
  </r>
  <r>
    <d v="2023-04-28T00:00:00"/>
    <d v="2023-04-28T00:00:00"/>
    <d v="2023-04-28T00:00:00"/>
    <s v="Bank"/>
    <x v="3"/>
    <s v="A1.5.05"/>
    <s v="Social Insurance Board"/>
    <s v="Annegrete Johanson - salary April 2023, WP5"/>
    <m/>
    <n v="16.63"/>
    <m/>
    <m/>
    <n v="16.63"/>
    <s v="MT03"/>
    <s v="Apr-Jun23"/>
    <m/>
  </r>
  <r>
    <m/>
    <m/>
    <m/>
    <s v="Bank"/>
    <x v="3"/>
    <s v="A1.5.05"/>
    <s v="Social Insurance Board"/>
    <s v="Annegrete Johanson - holiday pay April 2023"/>
    <m/>
    <n v="229.44"/>
    <m/>
    <m/>
    <n v="229.44"/>
    <s v="MT03"/>
    <s v="Apr-Jun23"/>
    <m/>
  </r>
  <r>
    <d v="2023-05-31T00:00:00"/>
    <d v="2023-05-31T00:00:00"/>
    <d v="2023-05-31T00:00:00"/>
    <s v="Bank"/>
    <x v="3"/>
    <s v="A1.5.01"/>
    <s v="Social Insurance Board"/>
    <s v="Annegrete Johanson - salary May 2023, WP1"/>
    <m/>
    <n v="16.649999999999999"/>
    <m/>
    <m/>
    <n v="16.649999999999999"/>
    <s v="MT03"/>
    <s v="Apr-Jun23"/>
    <m/>
  </r>
  <r>
    <d v="2023-05-31T00:00:00"/>
    <m/>
    <m/>
    <s v="Bank"/>
    <x v="3"/>
    <s v="A1.5.02"/>
    <s v="Social Insurance Board"/>
    <s v="Annegrete Johanson - salary May 2023, WP2"/>
    <m/>
    <n v="9.3464000000000009"/>
    <m/>
    <m/>
    <n v="9.3464000000000009"/>
    <s v="MT03"/>
    <s v="Apr-Jun23"/>
    <m/>
  </r>
  <r>
    <d v="2023-05-31T00:00:00"/>
    <m/>
    <m/>
    <s v="Bank"/>
    <x v="3"/>
    <s v="A1.5.03"/>
    <s v="Social Insurance Board"/>
    <s v="Annegrete Johanson - salary May 2023, WP3"/>
    <m/>
    <n v="242.00500000000002"/>
    <m/>
    <m/>
    <n v="242.00500000000002"/>
    <s v="MT03"/>
    <s v="Apr-Jun23"/>
    <m/>
  </r>
  <r>
    <d v="2023-05-31T00:00:00"/>
    <m/>
    <m/>
    <s v="Bank"/>
    <x v="3"/>
    <s v="A1.5.04"/>
    <s v="Social Insurance Board"/>
    <s v="Annegrete Johanson - salary May 2023, WP4"/>
    <m/>
    <n v="133.52000000000001"/>
    <m/>
    <m/>
    <n v="133.52000000000001"/>
    <s v="MT03"/>
    <s v="Apr-Jun23"/>
    <m/>
  </r>
  <r>
    <d v="2023-05-31T00:00:00"/>
    <m/>
    <m/>
    <s v="Bank"/>
    <x v="3"/>
    <s v="A1.5.05"/>
    <s v="Social Insurance Board"/>
    <s v="Annegrete Johanson - salary May 2023, WP5"/>
    <m/>
    <n v="8.35"/>
    <m/>
    <m/>
    <n v="8.35"/>
    <s v="MT03"/>
    <s v="Apr-Jun23"/>
    <m/>
  </r>
  <r>
    <m/>
    <m/>
    <m/>
    <s v="Bank"/>
    <x v="3"/>
    <s v="A1.5.05"/>
    <s v="Social Insurance Board"/>
    <s v="Annegrete Johanson - holiday pay May 2023"/>
    <m/>
    <n v="134.66999999999999"/>
    <m/>
    <m/>
    <n v="134.66999999999999"/>
    <s v="MT03"/>
    <s v="Apr-Jun23"/>
    <m/>
  </r>
  <r>
    <d v="2023-06-30T00:00:00"/>
    <m/>
    <m/>
    <s v="Bank"/>
    <x v="3"/>
    <s v="A1.5.01"/>
    <s v="Social Insurance Board"/>
    <s v="Annegrete Johanson - salary June 2023, WP1"/>
    <m/>
    <n v="196.44130000000001"/>
    <m/>
    <m/>
    <n v="196.44130000000001"/>
    <s v="MT03"/>
    <s v="Apr-Jun23"/>
    <m/>
  </r>
  <r>
    <d v="2023-06-30T00:00:00"/>
    <m/>
    <m/>
    <s v="Bank"/>
    <x v="3"/>
    <s v="A1.5.02"/>
    <s v="Social Insurance Board"/>
    <s v="Annegrete Johanson - salary June 2023, WP2"/>
    <m/>
    <n v="66.75"/>
    <m/>
    <m/>
    <n v="66.75"/>
    <s v="MT03"/>
    <s v="Apr-Jun23"/>
    <m/>
  </r>
  <r>
    <d v="2023-06-30T00:00:00"/>
    <m/>
    <m/>
    <s v="Bank"/>
    <x v="3"/>
    <s v="A1.5.03"/>
    <s v="Social Insurance Board"/>
    <s v="Annegrete Johanson - salary June 2023, WP3"/>
    <m/>
    <n v="33.340000000000003"/>
    <m/>
    <m/>
    <n v="33.340000000000003"/>
    <s v="MT03"/>
    <s v="Apr-Jun23"/>
    <m/>
  </r>
  <r>
    <d v="2023-06-30T00:00:00"/>
    <m/>
    <m/>
    <s v="Bank"/>
    <x v="3"/>
    <s v="A1.5.04"/>
    <s v="Social Insurance Board"/>
    <s v="Annegrete Johanson - salary June 2023, WP4"/>
    <m/>
    <n v="100.14000000000001"/>
    <m/>
    <m/>
    <n v="100.14000000000001"/>
    <s v="MT03"/>
    <s v="Apr-Jun23"/>
    <m/>
  </r>
  <r>
    <d v="2023-06-30T00:00:00"/>
    <d v="2023-06-30T00:00:00"/>
    <d v="2023-06-30T00:00:00"/>
    <s v="Bank"/>
    <x v="3"/>
    <s v="A1.5.05"/>
    <s v="Social Insurance Board"/>
    <s v="Annegrete Johanson - salary June 2023, WP5"/>
    <m/>
    <n v="166.9"/>
    <m/>
    <m/>
    <n v="166.9"/>
    <s v="MT03"/>
    <s v="Apr-Jun23"/>
    <m/>
  </r>
  <r>
    <d v="2023-05-12T00:00:00"/>
    <d v="2023-05-12T00:00:00"/>
    <d v="2023-06-26T00:00:00"/>
    <s v="Bank"/>
    <x v="4"/>
    <s v="C3.5.13"/>
    <s v="Social Insurance Board"/>
    <s v="Foreign assignment arrangement - expense report (T300-LK/76-K1):  Annegrete Johanson daily allowance from Tallinn-Bucharest-Tallinn for the i-Restore 2.0 Launching Conference 10.05.-12.05.2023."/>
    <m/>
    <n v="86.4"/>
    <m/>
    <m/>
    <n v="86.4"/>
    <s v="MT03"/>
    <s v="Apr-Jun23"/>
    <m/>
  </r>
  <r>
    <d v="2023-06-30T00:00:00"/>
    <d v="2023-06-30T00:00:00"/>
    <d v="2023-06-30T00:00:00"/>
    <m/>
    <x v="2"/>
    <s v="E"/>
    <s v=" Social Insurance Board"/>
    <s v="Indirect costs (7%)"/>
    <m/>
    <n v="124.59232800000002"/>
    <m/>
    <m/>
    <n v="124.59232800000002"/>
    <s v="MT03"/>
    <s v="Apr-Jun23"/>
    <n v="1904.4827280000002"/>
  </r>
  <r>
    <d v="2023-07-31T00:00:00"/>
    <m/>
    <d v="2023-07-31T00:00:00"/>
    <s v="Bank"/>
    <x v="3"/>
    <s v="A1.5.01-A.5.05"/>
    <s v="Social Insurance Board"/>
    <s v="Annegrete Johanson - salary July 2023(WP1; WP2; WP4)"/>
    <m/>
    <n v="429.38"/>
    <m/>
    <m/>
    <n v="429.38"/>
    <s v="MT04"/>
    <s v="Jul-Sept23"/>
    <m/>
  </r>
  <r>
    <m/>
    <m/>
    <m/>
    <m/>
    <x v="3"/>
    <s v="A1.5.01-A.5.05"/>
    <m/>
    <s v="Annegrete Johanson - holiday pay July 2023"/>
    <m/>
    <n v="142.19999999999999"/>
    <m/>
    <m/>
    <n v="142.19999999999999"/>
    <s v="MT04"/>
    <s v="Jul-Sept23"/>
    <m/>
  </r>
  <r>
    <d v="2023-08-28T00:00:00"/>
    <m/>
    <d v="2023-08-28T00:00:00"/>
    <s v="Bank"/>
    <x v="3"/>
    <s v="A1.5.01; A1.5.03"/>
    <s v="Social Insurance Board"/>
    <s v="Annegrete Johanson - salary August 2023 (WP1;WP 4)"/>
    <m/>
    <n v="367.55"/>
    <m/>
    <m/>
    <n v="367.55"/>
    <s v="MT04"/>
    <s v="Jul-Sept23"/>
    <m/>
  </r>
  <r>
    <m/>
    <m/>
    <m/>
    <m/>
    <x v="3"/>
    <s v="A1.5.01; A1.5.03"/>
    <m/>
    <s v="Annegrete Johanson - holiday pay August 2023"/>
    <m/>
    <n v="211.51"/>
    <m/>
    <m/>
    <n v="211.51"/>
    <s v="MT04"/>
    <s v="Jul-Sept23"/>
    <m/>
  </r>
  <r>
    <d v="2023-09-29T00:00:00"/>
    <m/>
    <d v="2023-09-29T00:00:00"/>
    <s v="Bank"/>
    <x v="3"/>
    <s v="A1.5.02; A1.5.03; A1.5.05"/>
    <s v="Social Insurance Board"/>
    <s v="Annegrete Johanson - salary September 2023 (WP 2; WP 4; WP5)"/>
    <m/>
    <n v="456.22"/>
    <m/>
    <m/>
    <n v="456.22"/>
    <s v="MT04"/>
    <s v="Jul-Sept23"/>
    <m/>
  </r>
  <r>
    <m/>
    <m/>
    <m/>
    <m/>
    <x v="3"/>
    <s v="A1.5.02; A1.5.03; A1.5.05"/>
    <m/>
    <s v="Annegrete Johanson - holiday pay September 2023"/>
    <m/>
    <n v="53.67"/>
    <m/>
    <m/>
    <n v="53.67"/>
    <s v="MT04"/>
    <s v="Jul-Sept23"/>
    <m/>
  </r>
  <r>
    <d v="2023-08-15T00:00:00"/>
    <d v="2023-08-15T00:00:00"/>
    <d v="2023-09-06T00:00:00"/>
    <s v="Bank"/>
    <x v="5"/>
    <s v="C1a.5.17"/>
    <s v="Restovibe OÜ"/>
    <s v="Restovibe OÜ invoice 1097 (Food - 14.08.2023). "/>
    <m/>
    <n v="57.6"/>
    <m/>
    <m/>
    <n v="57.6"/>
    <s v="MT04"/>
    <s v="Jul-Sept23"/>
    <m/>
  </r>
  <r>
    <d v="2023-08-31T00:00:00"/>
    <d v="2023-08-15T00:00:00"/>
    <d v="2023-09-11T00:00:00"/>
    <s v="Bank"/>
    <x v="5"/>
    <s v="C1a.5.17"/>
    <s v="Social Insurance Board"/>
    <s v="Fringe benefit tax: ÕIEND 9, Restovibe OÜ invoice 1097 (Food - 14.08.2023). "/>
    <m/>
    <n v="14.67"/>
    <m/>
    <m/>
    <n v="14.67"/>
    <s v="MT04"/>
    <s v="Jul-Sept23"/>
    <m/>
  </r>
  <r>
    <d v="2023-08-28T00:00:00"/>
    <d v="2023-08-14T00:00:00"/>
    <d v="2023-08-31T00:00:00"/>
    <s v="Bank"/>
    <x v="5"/>
    <s v="C1a.5.17"/>
    <s v="Social Insurance Board"/>
    <s v="Sandra Sutting,  Economic expenditure report (T300-MA/1033) - CAB Youth Council Summer School grocery check for shared cooking/snacks."/>
    <m/>
    <n v="43.94"/>
    <m/>
    <m/>
    <n v="43.94"/>
    <s v="MT04"/>
    <s v="Jul-Sept23"/>
    <m/>
  </r>
  <r>
    <d v="2023-09-30T00:00:00"/>
    <d v="2023-09-30T00:00:00"/>
    <d v="2023-09-30T00:00:00"/>
    <m/>
    <x v="2"/>
    <s v="E"/>
    <s v=" Social Insurance Board"/>
    <s v="Indirect costs (7%)"/>
    <m/>
    <n v="124.37180000000001"/>
    <m/>
    <m/>
    <n v="124.37180000000001"/>
    <s v="MT04"/>
    <s v="Jul-Sept23"/>
    <n v="1901.1118000000001"/>
  </r>
  <r>
    <d v="2023-10-31T00:00:00"/>
    <m/>
    <d v="2023-10-31T00:00:00"/>
    <s v="Bank"/>
    <x v="3"/>
    <s v="A1.5.01-A.5.05"/>
    <s v="Social Insurance Board"/>
    <s v="Annegrete Johanson - salary October 2023 (WP1; WP2; WP4)"/>
    <m/>
    <n v="435.48"/>
    <m/>
    <m/>
    <n v="435.48"/>
    <s v="MT05"/>
    <s v="Oct-Dec23"/>
    <m/>
  </r>
  <r>
    <m/>
    <m/>
    <m/>
    <m/>
    <x v="3"/>
    <s v="A1.5.01-A.5.05"/>
    <s v="Social Insurance Board"/>
    <s v="Annegrete Johanson - holiday pay October 2023"/>
    <m/>
    <n v="128.09"/>
    <m/>
    <m/>
    <n v="128.09"/>
    <s v="MT05"/>
    <s v="Oct-Dec23"/>
    <m/>
  </r>
  <r>
    <d v="2023-11-30T00:00:00"/>
    <m/>
    <d v="2023-11-30T00:00:00"/>
    <s v="Bank"/>
    <x v="3"/>
    <s v="A1.5.01; A1.5.03"/>
    <s v="Social Insurance Board"/>
    <s v="Annegrete Johanson - salary November 2023 (WP1;WP4)"/>
    <m/>
    <n v="563.57000000000005"/>
    <m/>
    <m/>
    <n v="563.57000000000005"/>
    <s v="MT05"/>
    <s v="Oct-Dec23"/>
    <m/>
  </r>
  <r>
    <d v="2023-12-28T00:00:00"/>
    <m/>
    <d v="2023-12-28T00:00:00"/>
    <s v="Bank"/>
    <x v="3"/>
    <s v="A1.5.02; A1.5.03; A1.5.05"/>
    <s v="Social Insurance Board"/>
    <s v="Annegrete Johanson - salary December 2023 (WP2; WP4; WP5)"/>
    <m/>
    <n v="563.55999999999995"/>
    <m/>
    <m/>
    <n v="563.55999999999995"/>
    <s v="MT05"/>
    <s v="Oct-Dec23"/>
    <m/>
  </r>
  <r>
    <d v="2023-09-06T00:00:00"/>
    <d v="2023-09-06T00:00:00"/>
    <d v="2023-10-12T00:00:00"/>
    <s v="Bank"/>
    <x v="5"/>
    <s v="C1a.5.17"/>
    <s v="Wolt Eesti OÜ"/>
    <s v="Wolt Eesti OÜ invoice 10600000283 (Food 14.08.-16.08.2023; 29.08.2023)."/>
    <m/>
    <n v="215.53"/>
    <m/>
    <m/>
    <n v="215.53"/>
    <s v="MT05"/>
    <s v="Oct-Dec23"/>
    <m/>
  </r>
  <r>
    <d v="2023-10-31T00:00:00"/>
    <d v="2023-09-06T00:00:00"/>
    <d v="2023-11-10T00:00:00"/>
    <s v="Bank"/>
    <x v="5"/>
    <s v="C1a.5.17"/>
    <s v="Social Insurance Board"/>
    <s v="Fringe benefit tax: ÕIEND 13. Wolt Eesti OÜ invoice 10600000283 (Food 14.08.-16.08.2023; 29.08.2023)."/>
    <m/>
    <n v="61.4"/>
    <m/>
    <m/>
    <n v="61.4"/>
    <s v="MT05"/>
    <s v="Oct-Dec23"/>
    <m/>
  </r>
  <r>
    <d v="2023-10-01T00:00:00"/>
    <d v="2023-10-01T00:00:00"/>
    <d v="2023-10-13T00:00:00"/>
    <s v="Bank"/>
    <x v="5"/>
    <s v="C1a.5.17"/>
    <s v="Social Insurance Board"/>
    <s v="Annegrete Johanson - Economic expenditure report T300-MA/1352 (Youth Council summer school 2023. Food 14.08.-16.08.2023). "/>
    <m/>
    <n v="132.26"/>
    <m/>
    <m/>
    <n v="132.26"/>
    <s v="MT05"/>
    <s v="Oct-Dec23"/>
    <m/>
  </r>
  <r>
    <d v="2023-10-31T00:00:00"/>
    <d v="2023-10-01T00:00:00"/>
    <d v="2023-11-10T00:00:00"/>
    <s v="Bank"/>
    <x v="5"/>
    <s v="C1a.5.17"/>
    <s v="Social Insurance Board"/>
    <s v="Fringe benefit tax: ÕIEND 13. Annegrete Johanson - Economic expenditure report T300-MA/1352 (Youth Council summer school 2023. Food 14.08.-16.08.2023). "/>
    <m/>
    <n v="26.95"/>
    <m/>
    <m/>
    <n v="26.95"/>
    <s v="MT05"/>
    <s v="Oct-Dec23"/>
    <m/>
  </r>
  <r>
    <d v="2023-11-14T00:00:00"/>
    <d v="2023-11-14T00:00:00"/>
    <d v="2023-12-20T00:00:00"/>
    <s v="Bank"/>
    <x v="6"/>
    <s v="C3.5.12; C1a.5.21; C1a.5.22"/>
    <s v="Centennial Hospitality OÜ"/>
    <s v="Centennial Hospitality OÜ invoice 179689 (Training rooms and catering 31.10-01.11.2023)."/>
    <m/>
    <n v="1679.4"/>
    <m/>
    <m/>
    <n v="1679.4"/>
    <s v="MT05"/>
    <s v="Oct-Dec23"/>
    <m/>
  </r>
  <r>
    <d v="2023-12-28T00:00:00"/>
    <d v="2023-11-14T00:00:00"/>
    <d v="2023-12-28T00:00:00"/>
    <s v="Bank"/>
    <x v="5"/>
    <s v=" C1a.5.21; C1a.5.22"/>
    <s v="Social Insurance Board"/>
    <s v="Fringe benefit tax: SKA EA LIIK 40. Centennial Hospitality OÜ invoice 179689 (Catering 31.10-01.11.2023)."/>
    <m/>
    <n v="26.63"/>
    <m/>
    <m/>
    <n v="26.63"/>
    <s v="MT05"/>
    <s v="Oct-Dec23"/>
    <m/>
  </r>
  <r>
    <d v="2023-12-04T00:00:00"/>
    <d v="2023-12-04T00:00:00"/>
    <d v="2023-12-22T00:00:00"/>
    <s v="Bank"/>
    <x v="5"/>
    <s v="C1a.5.18"/>
    <s v="Social Insurance Board"/>
    <s v="Sandra Sutting - Economic expenditure report T300-MA/1719 (Members of the Youth Council transport - train tickets)."/>
    <m/>
    <n v="10.8"/>
    <m/>
    <m/>
    <n v="10.8"/>
    <s v="MT05"/>
    <s v="Oct-Dec23"/>
    <m/>
  </r>
  <r>
    <d v="2023-12-21T00:00:00"/>
    <d v="2023-12-21T00:00:00"/>
    <d v="2024-01-22T00:00:00"/>
    <s v="Bank"/>
    <x v="7"/>
    <s v="C3.5.12; C1a.5.21; C1a.5.22"/>
    <s v="Centennial Hospitality OÜ"/>
    <s v="Centennial Hospitality OÜ invoice 180925 (Training rooms and catering 04.12.-05.12.2023)."/>
    <m/>
    <n v="1733.22"/>
    <m/>
    <m/>
    <n v="1733.22"/>
    <s v="MT05"/>
    <s v="Oct-Dec23"/>
    <m/>
  </r>
  <r>
    <d v="2023-12-31T00:00:00"/>
    <d v="2023-12-21T00:00:00"/>
    <d v="2024-01-29T00:00:00"/>
    <s v="Bank"/>
    <x v="5"/>
    <s v="C3.5.12; C1a.5.21; C1a.5.22"/>
    <s v="Social Insurance Board"/>
    <s v="Fringe benefit tax: DETSEMBER-2. Centennial Hospitality OÜ invoice 180925 (Catering 04.12.-05.12.2023)."/>
    <m/>
    <n v="78.08"/>
    <m/>
    <m/>
    <n v="78.08"/>
    <s v="MT05"/>
    <s v="Oct-Dec23"/>
    <m/>
  </r>
  <r>
    <d v="2023-12-21T00:00:00"/>
    <d v="2023-12-21T00:00:00"/>
    <d v="2024-01-05T00:00:00"/>
    <s v="Bank"/>
    <x v="4"/>
    <s v="C3.5.17"/>
    <s v="Studio MindZ OÜ"/>
    <s v="Studio MindZ OÜ invoice 2300398 - Room rent 06.12.2023."/>
    <m/>
    <n v="486.97"/>
    <m/>
    <m/>
    <n v="486.97"/>
    <s v="MT05"/>
    <s v="Oct-Dec23"/>
    <m/>
  </r>
  <r>
    <d v="2023-12-17T00:00:00"/>
    <d v="2023-12-17T00:00:00"/>
    <d v="2024-01-04T00:00:00"/>
    <s v="Bank"/>
    <x v="5"/>
    <s v="C1a.5.18"/>
    <s v="Social Insurance Board"/>
    <s v="Sandra Sutting - Economic expenditure report T300-MA/1 (CAB youth council transport for young people - train tickets 17.12.2023)."/>
    <m/>
    <n v="45.38"/>
    <m/>
    <m/>
    <n v="45.38"/>
    <s v="MT05"/>
    <s v="Oct-Dec23"/>
    <m/>
  </r>
  <r>
    <d v="2023-12-17T00:00:00"/>
    <d v="2023-12-17T00:00:00"/>
    <d v="2024-01-30T00:00:00"/>
    <s v="Bank"/>
    <x v="5"/>
    <s v="C1a.5.18"/>
    <s v="Social Insurance Board"/>
    <s v="Terli Linnas - Economic expenditure report T300-MA/69 (CAB youth council transport for young people - train tickets 17.12.2023)."/>
    <m/>
    <n v="8.59"/>
    <m/>
    <m/>
    <n v="8.59"/>
    <s v="MT05"/>
    <s v="Oct-Dec23"/>
    <m/>
  </r>
  <r>
    <d v="2023-12-31T00:00:00"/>
    <d v="2023-12-31T00:00:00"/>
    <d v="2023-12-31T00:00:00"/>
    <m/>
    <x v="2"/>
    <s v="E"/>
    <s v=" Social Insurance Board"/>
    <s v="Indirect costs (7%)"/>
    <m/>
    <n v="433.71370000000007"/>
    <m/>
    <m/>
    <n v="433.71370000000007"/>
    <s v="MT05"/>
    <s v="Oct-Dec23"/>
    <n v="6629.623700000001"/>
  </r>
  <r>
    <d v="2024-01-14T00:00:00"/>
    <d v="2024-01-14T00:00:00"/>
    <d v="2024-01-30T00:00:00"/>
    <s v="Bank"/>
    <x v="5"/>
    <s v="C1a.5.18"/>
    <s v="Social Insurance Board"/>
    <s v="Sandra Sutting - Economic expenditure report T300-MA/62 (CAB youth council transport for young people - train tickets 14.01.2024)."/>
    <m/>
    <n v="34.44"/>
    <m/>
    <m/>
    <n v="34.44"/>
    <s v="MT06"/>
    <s v="Jan-Jun24"/>
    <m/>
  </r>
  <r>
    <d v="2024-01-30T00:00:00"/>
    <d v="2024-01-30T00:00:00"/>
    <d v="2024-03-22T00:00:00"/>
    <s v="Bank"/>
    <x v="5"/>
    <s v="C1a.5.18"/>
    <s v="Reisieksperdi Aktsiaselts"/>
    <s v="Reisieksperdi AS Invoice nr BU24-428, 01.02.-02.02.2024 accommodation for training participants in Tallinn (Terli Linnas, Sandra Sutting, Tiia Linnas, Merle Kure, Kevo Jurmann)."/>
    <m/>
    <n v="211.5"/>
    <m/>
    <m/>
    <n v="211.5"/>
    <s v="MT06"/>
    <s v="Jan-Jun24"/>
    <m/>
  </r>
  <r>
    <d v="2024-02-08T00:00:00"/>
    <d v="2024-02-08T00:00:00"/>
    <d v="2024-02-22T00:00:00"/>
    <s v="Bank"/>
    <x v="4"/>
    <s v="C3.5.04"/>
    <s v="Mittetulundusühing RuaCrew"/>
    <s v="Mittetulundusühing RuaCrew Invoice nr 7. 01.02.-02.02.2024 training &quot;Implementing principles and principles of restorative law in practice&quot; preparation, execution and summaries."/>
    <m/>
    <n v="3510"/>
    <m/>
    <m/>
    <n v="3510"/>
    <s v="MT06"/>
    <s v="Jan-Jun24"/>
    <m/>
  </r>
  <r>
    <d v="2024-02-09T00:00:00"/>
    <d v="2024-02-09T00:00:00"/>
    <d v="2024-03-25T00:00:00"/>
    <s v="Bank"/>
    <x v="5"/>
    <s v="C1a.5.18"/>
    <s v="Reisieksperdi Aktsiaselts"/>
    <s v="Reisieksperdi AS Invoice nr BU24-641, 11.03.-14.03.2024 flight tickets Tallinn-Bukarest-Tallinn and travel insurance (Sandra Sutting, Terli Linnas, Kristel Põhjala, Ede-Eliisabet Kiisk, Kelian Järv)."/>
    <m/>
    <n v="1191.5"/>
    <m/>
    <m/>
    <n v="1191.5"/>
    <s v="MT06"/>
    <s v="Jan-Jun24"/>
    <m/>
  </r>
  <r>
    <d v="2024-02-16T00:00:00"/>
    <d v="2024-02-16T00:00:00"/>
    <d v="2024-03-25T00:00:00"/>
    <s v="Bank"/>
    <x v="5"/>
    <s v="C1a.5.18"/>
    <s v="Reisieksperdi Aktsiaselts"/>
    <s v="Reisieksperdi AS Invoice nr BU24-773, 18.02.-22.02.2024 faccommodation and transfeer (Elena-Cristiana Bulgariu, Ruxandra Dorobantu, Andreea Epure, Lucia Octavia Petrescu, Alexandru Georgian Birau)."/>
    <m/>
    <n v="1452.6"/>
    <m/>
    <m/>
    <n v="1452.6"/>
    <s v="MT06"/>
    <s v="Jan-Jun24"/>
    <m/>
  </r>
  <r>
    <d v="2024-01-26T00:00:00"/>
    <d v="2024-01-26T00:00:00"/>
    <d v="2024-02-20T00:00:00"/>
    <s v="Bank"/>
    <x v="4"/>
    <s v="C3.5.04"/>
    <s v="Social Insurance Board"/>
    <s v="Sandra Sutting - Economic expenditure report T300-MA/138 (CAB youth council transport for young people - train tickets)."/>
    <m/>
    <n v="43.18"/>
    <m/>
    <m/>
    <n v="43.18"/>
    <s v="MT06"/>
    <s v="Jan-Jun24"/>
    <m/>
  </r>
  <r>
    <d v="2024-02-29T00:00:00"/>
    <d v="2024-02-29T00:00:00"/>
    <d v="2024-03-25T00:00:00"/>
    <s v="Bank"/>
    <x v="4"/>
    <s v="C3.5.05; C1a.5.13"/>
    <s v="Centennial Hospitality OÜ"/>
    <s v="Centennial Hospitality OÜ Invoice 182581. Room rent (434,42 eur) and catering (378,71 eur) for the training 02.02.2024 in Tallinn. "/>
    <m/>
    <n v="902.72"/>
    <m/>
    <m/>
    <n v="902.72"/>
    <s v="MT06"/>
    <s v="Jan-Jun24"/>
    <m/>
  </r>
  <r>
    <d v="2024-03-31T00:00:00"/>
    <d v="2024-03-31T00:00:00"/>
    <d v="2024-04-10T00:00:00"/>
    <s v="Bank"/>
    <x v="8"/>
    <s v="C3.5.06"/>
    <s v="Social Insurance Board"/>
    <s v="Fringe benefit tax: ÕIEND 33. Centennial Hospitality OÜ Invoice 182581. Room rent and catering for the training 02.02.2024 in Tallinn."/>
    <m/>
    <n v="84.61"/>
    <m/>
    <m/>
    <n v="84.61"/>
    <s v="MT06"/>
    <s v="Jan-Jun24"/>
    <m/>
  </r>
  <r>
    <d v="2024-03-06T00:00:00"/>
    <d v="2024-03-06T00:00:00"/>
    <d v="2024-04-08T00:00:00"/>
    <s v="Bank"/>
    <x v="5"/>
    <s v="C1a.5.15"/>
    <s v="Reisieksperdi Aktsiaselts"/>
    <s v="Reisieksperdi AS Invoice nr BU24-1090, 10.03.-11.03.2024 accommodation in Tallinn (Terli Linnas)."/>
    <m/>
    <n v="53.1"/>
    <m/>
    <m/>
    <n v="53.1"/>
    <s v="MT06"/>
    <s v="Jan-Jun24"/>
    <m/>
  </r>
  <r>
    <d v="2024-03-03T00:00:00"/>
    <d v="2024-03-03T00:00:00"/>
    <d v="2024-03-08T00:00:00"/>
    <s v="Bank"/>
    <x v="5"/>
    <s v="C1a.5.18"/>
    <s v="Social Insurance Board"/>
    <s v="Sandra Sutting - Economic expenditure report T300-MA/210 (CAB youth council transport for young people - train tickets 03.03.2024)."/>
    <m/>
    <n v="31.31"/>
    <m/>
    <m/>
    <n v="31.31"/>
    <s v="MT06"/>
    <s v="Jan-Jun24"/>
    <m/>
  </r>
  <r>
    <d v="2024-03-13T00:00:00"/>
    <d v="2024-03-13T00:00:00"/>
    <d v="2024-03-28T00:00:00"/>
    <s v="Bank"/>
    <x v="4"/>
    <s v="C3.5.15"/>
    <s v="Ourpower OÜ"/>
    <s v="Ourpower OÜ Invoice nr 101110. CAB Youth Council Restorative Justice awareness campaign development, including consultations and conducting workshops."/>
    <m/>
    <n v="2291.54"/>
    <m/>
    <m/>
    <n v="2291.54"/>
    <s v="MT06"/>
    <s v="Jan-Jun24"/>
    <m/>
  </r>
  <r>
    <d v="2024-03-14T00:00:00"/>
    <d v="2024-03-14T00:00:00"/>
    <d v="2024-04-10T00:00:00"/>
    <s v="Bank"/>
    <x v="5"/>
    <s v="C1a.5.19"/>
    <s v="Social Insurance Board"/>
    <s v="Foreign assignment arrangement - expense report (T300-LK/94-K1):  Sandra Sutting daily allowance and transport from Tallinn-Bucharest-Tallinn for the i-Restore 2.0 study visit to Romania 11.03.-14.03.2024."/>
    <m/>
    <n v="193.68"/>
    <m/>
    <m/>
    <n v="193.68"/>
    <s v="MT06"/>
    <s v="Jan-Jun24"/>
    <m/>
  </r>
  <r>
    <d v="2024-03-14T00:00:00"/>
    <d v="2024-03-14T00:00:00"/>
    <d v="2024-03-25T00:00:00"/>
    <s v="Bank"/>
    <x v="5"/>
    <s v="C1a.5.20"/>
    <s v="Social Insurance Board"/>
    <s v="Foreign assignment arrangement - expense report (T300-LK/95-K1):  Terli Linnas daily allowance and transport from Tallinn-Bucharest-Tallinn for the i-Restore 2.0 study visit to Romania 11.03.-14.03.2024."/>
    <m/>
    <n v="124.2"/>
    <m/>
    <m/>
    <n v="124.2"/>
    <s v="MT06"/>
    <s v="Jan-Jun24"/>
    <m/>
  </r>
  <r>
    <d v="2024-04-03T00:00:00"/>
    <d v="2024-04-03T00:00:00"/>
    <d v="2024-05-31T00:00:00"/>
    <s v="Bank"/>
    <x v="5"/>
    <s v="C1a.5.17"/>
    <s v="Wolt Eesti OÜ"/>
    <s v="Wolt Eesti OÜ invoice 10600000333. 03.03.2024 CAB Youth Council meeting in Tallinn, catering."/>
    <m/>
    <n v="112.81"/>
    <m/>
    <m/>
    <n v="112.81"/>
    <s v="MT06"/>
    <s v="Jan-Jun24"/>
    <m/>
  </r>
  <r>
    <d v="2024-04-14T00:00:00"/>
    <d v="2024-04-14T00:00:00"/>
    <d v="2024-04-24T00:00:00"/>
    <s v="Bank"/>
    <x v="5"/>
    <s v="C1a.5.18"/>
    <s v="Social Insurance Board"/>
    <s v="Sandra Sutting - Economic expenditure report T300-MA/423 (CAB youth council transport for young people - train and bus tickets 14.04.2024)."/>
    <m/>
    <n v="25.5"/>
    <m/>
    <m/>
    <n v="25.5"/>
    <s v="MT06"/>
    <s v="Jan-Jun24"/>
    <m/>
  </r>
  <r>
    <d v="2024-04-30T00:00:00"/>
    <d v="2024-04-30T00:00:00"/>
    <d v="2024-07-04T00:00:00"/>
    <s v="Bank"/>
    <x v="5"/>
    <s v="C1a.5.17"/>
    <s v="Wolt Eesti OÜ"/>
    <s v="Wolt Eesti OÜ invoice 10600000338. CAB meeting 14.04.2024 in Tartu, catering."/>
    <m/>
    <n v="109.6"/>
    <m/>
    <m/>
    <n v="109.6"/>
    <s v="MT06"/>
    <s v="Jan-Jun24"/>
    <m/>
  </r>
  <r>
    <d v="2024-06-30T00:00:00"/>
    <d v="2024-06-30T00:00:00"/>
    <d v="2024-07-10T00:00:00"/>
    <s v="Bank"/>
    <x v="5"/>
    <s v="C1a.5.17"/>
    <s v="Social Insurance Board"/>
    <s v="Fringe benefit tax: ÕIEND 6. Wolt Eesti OÜ invoice 10600000338. CAB meeting 14.04.2024 in Tartu, catering."/>
    <m/>
    <n v="20.11"/>
    <m/>
    <m/>
    <n v="20.11"/>
    <s v="MT06"/>
    <s v="Jan-Jun24"/>
    <m/>
  </r>
  <r>
    <d v="2024-05-25T00:00:00"/>
    <d v="2024-05-25T00:00:00"/>
    <d v="2024-06-27T00:00:00"/>
    <s v="Bank"/>
    <x v="5"/>
    <s v="C1a.5.18"/>
    <s v="Social Insurance Board"/>
    <s v="Foreign assignment arrangement - expense report (T300-LK/321-K1): Sigrid Laan daily allowance from Tallinn-Athens-Tallinn for the iRegional Advocacy Event i-RESTORE 2.0 23.05.-25.03.2024."/>
    <m/>
    <n v="86.4"/>
    <m/>
    <m/>
    <n v="86.4"/>
    <s v="MT06"/>
    <s v="Jan-Jun24"/>
    <m/>
  </r>
  <r>
    <d v="2024-05-25T00:00:00"/>
    <d v="2024-05-25T00:00:00"/>
    <d v="2024-06-19T00:00:00"/>
    <s v="Bank"/>
    <x v="5"/>
    <s v="C1a.5.18"/>
    <s v="Social Insurance Board"/>
    <s v="Foreign assignment arrangement - expense report (T300-LK/322-K1): Anneliis Feenstra daily allowance from Tallinn-Athens-Tallinn for the iRegional Advocacy Event i-RESTORE 2.0 23.05.-25.03.2024."/>
    <m/>
    <n v="86.4"/>
    <m/>
    <m/>
    <n v="86.4"/>
    <s v="MT06"/>
    <s v="Jan-Jun24"/>
    <m/>
  </r>
  <r>
    <d v="2024-05-25T00:00:00"/>
    <d v="2024-05-25T00:00:00"/>
    <d v="2024-07-10T00:00:00"/>
    <s v="Bank"/>
    <x v="5"/>
    <s v="C1a.5.18"/>
    <s v="Social Insurance Board"/>
    <s v="Foreign assignment arrangement - expense report (T300-LK/323-K1): Helerin Välba daily allowance and transport from Tallinn-Athens-Tallinn for the iRegional Advocacy Event i-RESTORE 2.0 23.05.-25.03.2024."/>
    <m/>
    <n v="182.88"/>
    <m/>
    <m/>
    <n v="182.88"/>
    <s v="MT06"/>
    <s v="Jan-Jun24"/>
    <m/>
  </r>
  <r>
    <d v="2024-05-31T00:00:00"/>
    <d v="2024-05-31T00:00:00"/>
    <d v="2024-07-15T00:00:00"/>
    <s v="Bank"/>
    <x v="4"/>
    <s v="C3.5.15"/>
    <s v="Osaühing Laesson &amp; Partnerid"/>
    <s v="Osaühing Laesson &amp; Partnerid Invoice nr 24052058. Awareness circles communal cooking 31.05.2024."/>
    <m/>
    <n v="384.3"/>
    <m/>
    <m/>
    <n v="384.3"/>
    <s v="MT06"/>
    <s v="Jan-Jun24"/>
    <m/>
  </r>
  <r>
    <d v="2024-06-11T00:00:00"/>
    <d v="2024-06-11T00:00:00"/>
    <d v="2024-07-10T00:00:00"/>
    <s v="Bank"/>
    <x v="8"/>
    <s v="C3.5.16"/>
    <s v="Mittetulundusühing Sa Suudad"/>
    <s v="Mittetulundusühing Sa Suudad Invoice nr 1. 13.05.2024 meeting of the youth council for the continuation of the I-Restore 2.0."/>
    <m/>
    <n v="900"/>
    <m/>
    <m/>
    <n v="900"/>
    <s v="MT06"/>
    <s v="Jan-Jun24"/>
    <m/>
  </r>
  <r>
    <d v="2024-06-11T00:00:00"/>
    <d v="2024-06-11T00:00:00"/>
    <d v="2024-07-10T00:00:00"/>
    <s v="Bank"/>
    <x v="9"/>
    <s v="C3.5.17"/>
    <s v="Mittetulundusühing Sa Suudad"/>
    <s v="Mittetulundusühing Sa Suudad Invoice nr 2. 13.05.2024 meeting of the youth council for the continuation of the I-Restore 2.0."/>
    <m/>
    <n v="64.650000000000006"/>
    <m/>
    <m/>
    <n v="64.650000000000006"/>
    <s v="MT06"/>
    <s v="Jan-Jun24"/>
    <m/>
  </r>
  <r>
    <d v="2024-05-28T00:00:00"/>
    <d v="2024-05-28T00:00:00"/>
    <d v="2024-06-25T00:00:00"/>
    <s v="Bank"/>
    <x v="4"/>
    <s v="C3.5.15"/>
    <s v="Social Insurance Board"/>
    <s v="Helerin Välba - Economic expenditure report T300-MA/737. i-RESTORE 2.0 awarness circles class morning of the participants 22.05.2024 and 24.05.2024."/>
    <m/>
    <n v="253.44"/>
    <m/>
    <m/>
    <n v="253.44"/>
    <s v="MT06"/>
    <s v="Jan-Jun24"/>
    <m/>
  </r>
  <r>
    <d v="2024-07-05T00:00:00"/>
    <d v="2024-07-05T00:00:00"/>
    <d v="2024-07-29T00:00:00"/>
    <s v="Bank"/>
    <x v="8"/>
    <s v="C3.5.10"/>
    <s v="Mittetulundusühing Sa Suudad"/>
    <s v="Mittetulundusühing Sa Suudad Invoice nr 3. 17.06.2024 meeting of the youth council for the continuation of the I-Restore 2.0."/>
    <m/>
    <n v="137.61000000000001"/>
    <m/>
    <m/>
    <n v="137.61000000000001"/>
    <s v="MT06"/>
    <s v="Jan-Jun24"/>
    <m/>
  </r>
  <r>
    <d v="2023-12-31T00:00:00"/>
    <d v="2023-12-31T00:00:00"/>
    <d v="2023-12-31T00:00:00"/>
    <m/>
    <x v="2"/>
    <s v="E"/>
    <s v=" Social Insurance Board"/>
    <s v="Indirect costs (7%)"/>
    <m/>
    <n v="874.16560000000015"/>
    <m/>
    <m/>
    <n v="874.16560000000015"/>
    <s v="MT06"/>
    <s v="Jan-Jun24"/>
    <n v="13362.245600000002"/>
  </r>
  <r>
    <d v="2024-07-03T00:00:00"/>
    <d v="2024-07-03T00:00:00"/>
    <d v="2024-09-03T00:00:00"/>
    <s v="Bank"/>
    <x v="5"/>
    <s v="C1a506 (3 kids, 1023 eur); C1a504 (1800 eur); C1a503 (1510 eur)"/>
    <s v="Reisieksperdi Aktsiaselts"/>
    <s v="Reisieksperdi AS Invoice nr BU24-3401, 01.09.-03.09.2024 expenses related to the trip to the seminar in Brussels (Andres Aru, Joel Markus Antson, Hardo Sildnik, Anneliis Feenstra, Sandra Sutting, Ede Eliisabet Kiisk, Kelian Järv)."/>
    <m/>
    <n v="3900.07"/>
    <m/>
    <m/>
    <n v="3900.07"/>
    <s v="MT07"/>
    <s v="Jul-Oct24"/>
    <m/>
  </r>
  <r>
    <d v="2024-08-22T00:00:00"/>
    <d v="2024-08-22T00:00:00"/>
    <d v="2024-09-06T00:00:00"/>
    <s v="Bank"/>
    <x v="4"/>
    <s v="C3516"/>
    <s v="Mittetulundusühing Sa Suudad"/>
    <s v="Mittetulundusühing Sa Suudad Invoice nr 5. August 2024 meeting of the youth council for the continuation of the I-Restore 2.0."/>
    <m/>
    <n v="900"/>
    <m/>
    <m/>
    <n v="900"/>
    <s v="MT07"/>
    <s v="Jul-Oct24"/>
    <m/>
  </r>
  <r>
    <d v="2024-08-28T00:00:00"/>
    <d v="2024-08-28T00:00:00"/>
    <d v="2024-10-18T00:00:00"/>
    <s v="Bank"/>
    <x v="5"/>
    <s v="C1a519"/>
    <s v="Social Insurance Board"/>
    <s v="Foreign assignment arrangement - expense report (T300-LK/447-K1): Sandra Sutting daily allowance and traveling expenses from Tallinn-Brüssel-Tallinn for the i-Restore project final conference 01.09.-03.09.2024."/>
    <m/>
    <n v="122.85"/>
    <m/>
    <m/>
    <n v="122.85"/>
    <s v="MT07"/>
    <s v="Jul-Oct24"/>
    <m/>
  </r>
  <r>
    <d v="2024-08-28T00:00:00"/>
    <d v="2024-08-28T00:00:00"/>
    <d v="2024-09-23T00:00:00"/>
    <s v="Bank"/>
    <x v="5"/>
    <s v="C1a519"/>
    <s v="Social Insurance Board"/>
    <s v="Foreign assignment arrangement - expense report (T300-LK/448-K1): Anneliis Feenstra daily allowance from Tallinn-Brüssel-Tallinn for the i-Restore project final conference 01.09.-03.09.2024."/>
    <m/>
    <n v="86.4"/>
    <m/>
    <m/>
    <n v="86.4"/>
    <s v="MT07"/>
    <s v="Jul-Oct24"/>
    <m/>
  </r>
  <r>
    <d v="2024-09-19T00:00:00"/>
    <d v="2024-09-19T00:00:00"/>
    <d v="2024-09-23T00:00:00"/>
    <s v="Bank"/>
    <x v="5"/>
    <s v="C1a519"/>
    <s v="Social Insurance Board"/>
    <s v="Sandra Sutting - Economic expenditure report T300-MA/988 (CAB youth council transport for young people - train tickets 01.09.2024, 04.09.2024 and 02.09.24 CAB youth dinner (Brussels conference))."/>
    <m/>
    <n v="35.85"/>
    <m/>
    <m/>
    <n v="35.85"/>
    <s v="MT07"/>
    <s v="Jul-Oct24"/>
    <m/>
  </r>
  <r>
    <d v="2024-09-02T00:00:00"/>
    <d v="2024-10-01T00:00:00"/>
    <d v="2024-10-03T00:00:00"/>
    <s v="Bank"/>
    <x v="5"/>
    <s v="C1a525"/>
    <s v="Social Insurance Board"/>
    <s v="Anneliis Feenstra - Economic expenditure report T300-MA/1024 (02.09.2024 CAB youth dinner (Brussels conference))."/>
    <m/>
    <n v="35.1"/>
    <m/>
    <m/>
    <n v="35.1"/>
    <s v="MT07"/>
    <s v="Jul-Oct24"/>
    <m/>
  </r>
  <r>
    <d v="2024-08-30T00:00:00"/>
    <m/>
    <d v="2024-08-30T00:00:00"/>
    <s v="Bank"/>
    <x v="3"/>
    <s v="A1501-A1505"/>
    <s v="Social Insurance Board"/>
    <s v="Anneliis Feenstra - salary August 2024; 35% WP1;  12% WP2; 21% WP3; 22% WP4; 10% WP5"/>
    <m/>
    <n v="828.29"/>
    <m/>
    <m/>
    <n v="828.29"/>
    <s v="MT07"/>
    <s v="Jul-Oct24"/>
    <m/>
  </r>
  <r>
    <d v="2024-09-30T00:00:00"/>
    <m/>
    <d v="2024-09-30T00:00:00"/>
    <s v="Bank"/>
    <x v="3"/>
    <s v="A1501-A1505"/>
    <s v="Social Insurance Board"/>
    <s v="Anneliis Feenstra - salary September 2024; 35% WP1;  12% WP2; 21% WP3; 22% WP4; 10% WP5"/>
    <m/>
    <n v="869.7"/>
    <m/>
    <m/>
    <n v="869.7"/>
    <s v="MT07"/>
    <s v="Jul-Oct24"/>
    <m/>
  </r>
  <r>
    <d v="2023-12-31T00:00:00"/>
    <d v="2023-12-31T00:00:00"/>
    <d v="2023-12-31T00:00:00"/>
    <m/>
    <x v="2"/>
    <s v="E"/>
    <s v=" Social Insurance Board"/>
    <s v="Indirect costs (7%)"/>
    <m/>
    <n v="474.47820000000007"/>
    <m/>
    <m/>
    <n v="474.47820000000007"/>
    <s v="MT07"/>
    <s v="Jul-Oct24"/>
    <n v="7252.7382000000007"/>
  </r>
  <r>
    <d v="2024-10-08T00:00:00"/>
    <d v="2024-10-08T00:00:00"/>
    <d v="2024-11-27T00:00:00"/>
    <s v="Bank"/>
    <x v="8"/>
    <s v="C3515"/>
    <s v="Osaühing Multilingua Tõlkebüroo"/>
    <s v="Osaühing Multilingua Tõlkebüroo Invoice 240517, written translation from English to Estonian -&gt; Awareness circle storybooki."/>
    <m/>
    <n v="408.94"/>
    <m/>
    <m/>
    <n v="408.94"/>
    <s v="MT08"/>
    <s v="Nov-Dec24"/>
    <m/>
  </r>
  <r>
    <d v="2024-11-22T00:00:00"/>
    <d v="2024-11-22T00:00:00"/>
    <d v="2024-12-13T00:00:00"/>
    <s v="Bank"/>
    <x v="8"/>
    <s v="C3519; C3520"/>
    <s v="Mittetulundusühing Sa Suudad"/>
    <s v="Mittetulundusühing Sa Suudad Invoice nr 8. 17.11.2024 CAB meeting feedback focus group to carry out."/>
    <m/>
    <n v="696.84"/>
    <m/>
    <m/>
    <n v="696.84"/>
    <s v="MT08"/>
    <s v="Nov-Dec24"/>
    <m/>
  </r>
  <r>
    <d v="2024-11-25T00:00:00"/>
    <d v="2024-11-25T00:00:00"/>
    <d v="2024-12-17T00:00:00"/>
    <s v="Bank"/>
    <x v="8"/>
    <s v="C3516"/>
    <s v="Osaühing VALI PRESS"/>
    <s v="Osaühing VALI PRESS Invoice nr 241631. Restorative justice card game final design, language editing and printing, 35 sets. Ordered products were put into use on 09.12.2024 at the I-restore closing conference."/>
    <m/>
    <n v="1213.29"/>
    <m/>
    <m/>
    <n v="1213.29"/>
    <s v="MT08"/>
    <s v="Nov-Dec24"/>
    <m/>
  </r>
  <r>
    <d v="2024-12-13T00:00:00"/>
    <d v="2024-12-13T00:00:00"/>
    <d v="2025-01-03T00:00:00"/>
    <s v="Bank"/>
    <x v="5"/>
    <s v="C1A517"/>
    <s v="F-hoone OÜ"/>
    <s v="F-hoone OÜ Invoice nr 24456. i-RESTORE 2.0 thank you dinner for CAB members and project partners in Tallinn, Estonia 09.12.2024."/>
    <m/>
    <n v="355.22"/>
    <m/>
    <m/>
    <n v="355.22"/>
    <s v="MT08"/>
    <s v="Nov-Dec24"/>
    <m/>
  </r>
  <r>
    <d v="2024-12-31T00:00:00"/>
    <d v="2024-12-31T00:00:00"/>
    <d v="2025-01-10T00:00:00"/>
    <s v="Bank"/>
    <x v="5"/>
    <s v="C1A517"/>
    <s v="Social Insurance Board"/>
    <s v="Fringe benefit tax: DETSEMBER. F-hoone OÜ Invoice nr 24456 (i-RESTORE 2.0 thank you dinner for CAB members and project partners in Tallinn, Estonia 09.12.2024)."/>
    <m/>
    <n v="78.45"/>
    <m/>
    <m/>
    <n v="78.45"/>
    <s v="MT08"/>
    <s v="Nov-Dec24"/>
    <m/>
  </r>
  <r>
    <d v="2024-12-16T00:00:00"/>
    <d v="2024-12-16T00:00:00"/>
    <d v="2025-01-03T00:00:00"/>
    <s v="Bank"/>
    <x v="4"/>
    <s v="C3504; C3513; C3517; A1515; "/>
    <s v="OÜ AJ Palaestra"/>
    <s v="OÜ AJ Palaestra Invoice nr 59. Organizing a conference for educators and other professionals working with youth. i-RESTORE 2.0 final conference 09.12.2024"/>
    <m/>
    <n v="11340"/>
    <m/>
    <m/>
    <n v="11340"/>
    <s v="MT08"/>
    <s v="Nov-Dec24"/>
    <m/>
  </r>
  <r>
    <d v="2024-12-18T00:00:00"/>
    <d v="2024-12-18T00:00:00"/>
    <d v="2025-01-03T00:00:00"/>
    <s v="Bank"/>
    <x v="8"/>
    <s v="C3516"/>
    <s v="Pintsel &amp; Pokaal OÜ"/>
    <s v="Pintsel &amp; Pokaal OÜ Invoice nr 2024004. CAB Youth Council joint activities in Tallinn 16.12.2024."/>
    <m/>
    <n v="243"/>
    <m/>
    <m/>
    <n v="243"/>
    <s v="MT08"/>
    <s v="Nov-Dec24"/>
    <m/>
  </r>
  <r>
    <d v="2024-12-31T00:00:00"/>
    <d v="2024-12-31T00:00:00"/>
    <d v="2024-12-31T00:00:00"/>
    <m/>
    <x v="2"/>
    <s v="E"/>
    <s v=" Social Insurance Board"/>
    <s v="Indirect costs (7%)"/>
    <m/>
    <n v="1003.5018000000001"/>
    <m/>
    <m/>
    <n v="1003.5018000000001"/>
    <s v="MT08"/>
    <s v="Nov-Dec24"/>
    <n v="15339.24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9704D1D-2704-44B1-8BE5-4A3726EE3351}" name="PivotTable-liigendtabel1" cacheId="0" applyNumberFormats="0" applyBorderFormats="0" applyFontFormats="0" applyPatternFormats="0" applyAlignmentFormats="0" applyWidthHeightFormats="1" dataCaption="Väärtused" updatedVersion="7" minRefreshableVersion="3" useAutoFormatting="1" itemPrintTitles="1" createdVersion="7" indent="0" outline="1" outlineData="1" multipleFieldFilters="0" rowHeaderCaption="Budget line">
  <location ref="A3:B14" firstHeaderRow="1" firstDataRow="1" firstDataCol="1"/>
  <pivotFields count="16">
    <pivotField showAll="0"/>
    <pivotField showAll="0"/>
    <pivotField showAll="0"/>
    <pivotField showAll="0"/>
    <pivotField axis="axisRow" showAll="0">
      <items count="12">
        <item x="2"/>
        <item x="3"/>
        <item m="1" x="10"/>
        <item x="1"/>
        <item x="5"/>
        <item x="7"/>
        <item x="4"/>
        <item x="6"/>
        <item x="8"/>
        <item x="9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numFmtId="4" showAll="0"/>
    <pivotField showAll="0"/>
    <pivotField showAll="0"/>
    <pivotField showAll="0"/>
  </pivotFields>
  <rowFields count="1">
    <field x="4"/>
  </rowFields>
  <rowItems count="11">
    <i>
      <x/>
    </i>
    <i>
      <x v="1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Summa kogusummast EXPENSE_x000a_(in EUR)" fld="12" baseField="0" baseItem="0"/>
  </dataFields>
  <formats count="3">
    <format dxfId="2">
      <pivotArea collapsedLevelsAreSubtotals="1" fieldPosition="0">
        <references count="1">
          <reference field="4" count="0"/>
        </references>
      </pivotArea>
    </format>
    <format dxfId="1">
      <pivotArea grandRow="1" outline="0" collapsedLevelsAreSubtotals="1" fieldPosition="0"/>
    </format>
    <format dxfId="0">
      <pivotArea dataOnly="0" fieldPosition="0">
        <references count="1">
          <reference field="4" count="1">
            <x v="1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8DC1F-2C50-4FDB-99AF-1B9E90EA88D8}">
  <dimension ref="A5:I47"/>
  <sheetViews>
    <sheetView workbookViewId="0">
      <selection activeCell="E37" activeCellId="15" sqref="E5:E6 E9 E11 E12 E15 E16 E19 E20 E23 E24 E28 E29 E32 E33 E36 E37"/>
    </sheetView>
  </sheetViews>
  <sheetFormatPr defaultRowHeight="12.75" x14ac:dyDescent="0.2"/>
  <cols>
    <col min="1" max="1" width="13.85546875" customWidth="1"/>
    <col min="2" max="2" width="9.42578125" bestFit="1" customWidth="1"/>
    <col min="3" max="3" width="13.5703125" customWidth="1"/>
    <col min="4" max="4" width="12.85546875" customWidth="1"/>
    <col min="5" max="6" width="11.28515625" bestFit="1" customWidth="1"/>
    <col min="7" max="7" width="34.140625" bestFit="1" customWidth="1"/>
    <col min="8" max="8" width="9.7109375" customWidth="1"/>
    <col min="9" max="9" width="11.28515625" bestFit="1" customWidth="1"/>
    <col min="10" max="10" width="11.140625" bestFit="1" customWidth="1"/>
  </cols>
  <sheetData>
    <row r="5" spans="1:9" x14ac:dyDescent="0.2">
      <c r="B5" s="116"/>
      <c r="C5" s="117" t="s">
        <v>219</v>
      </c>
      <c r="D5" s="118" t="s">
        <v>200</v>
      </c>
      <c r="E5" s="138">
        <v>0</v>
      </c>
      <c r="G5" s="113" t="s">
        <v>202</v>
      </c>
      <c r="H5" s="114" t="s">
        <v>201</v>
      </c>
      <c r="I5" s="114" t="s">
        <v>203</v>
      </c>
    </row>
    <row r="6" spans="1:9" x14ac:dyDescent="0.2">
      <c r="B6" s="116"/>
      <c r="C6" s="119"/>
      <c r="D6" s="120" t="s">
        <v>201</v>
      </c>
      <c r="E6" s="142">
        <f>'R1_Oct-Dec22'!M5+'R1_Oct-Dec22'!M6+'R1_Oct-Dec22'!M7</f>
        <v>751.68</v>
      </c>
      <c r="G6" s="127">
        <v>2022</v>
      </c>
      <c r="H6" s="128">
        <v>1981.5</v>
      </c>
      <c r="I6" s="128">
        <v>40248.9</v>
      </c>
    </row>
    <row r="7" spans="1:9" x14ac:dyDescent="0.2">
      <c r="B7" s="116"/>
      <c r="C7" s="121"/>
      <c r="D7" s="122" t="s">
        <v>168</v>
      </c>
      <c r="E7" s="157">
        <f>(E5+E6)*7%</f>
        <v>52.617600000000003</v>
      </c>
      <c r="G7" s="127">
        <v>2023</v>
      </c>
      <c r="H7" s="128">
        <v>14434.15</v>
      </c>
      <c r="I7" s="128">
        <v>39948.9</v>
      </c>
    </row>
    <row r="8" spans="1:9" x14ac:dyDescent="0.2">
      <c r="A8" s="143" t="s">
        <v>208</v>
      </c>
      <c r="B8" s="123">
        <f>I6-E8</f>
        <v>39444.602400000003</v>
      </c>
      <c r="C8" s="300" t="s">
        <v>209</v>
      </c>
      <c r="D8" s="301"/>
      <c r="E8" s="158">
        <f>SUM(E5:E7)</f>
        <v>804.29759999999999</v>
      </c>
      <c r="G8" s="132">
        <v>2024</v>
      </c>
      <c r="H8" s="133">
        <v>35954.17</v>
      </c>
      <c r="I8" s="133">
        <v>0</v>
      </c>
    </row>
    <row r="9" spans="1:9" x14ac:dyDescent="0.2">
      <c r="B9" s="116"/>
      <c r="C9" s="124" t="s">
        <v>218</v>
      </c>
      <c r="D9" s="125" t="s">
        <v>200</v>
      </c>
      <c r="E9" s="126">
        <f>'R2_Jan-Mar23'!M11+'R2_Jan-Mar23'!M12</f>
        <v>984.09999999999991</v>
      </c>
      <c r="G9" s="113" t="s">
        <v>204</v>
      </c>
      <c r="H9" s="115">
        <f>SUM(H6:H8)</f>
        <v>52369.82</v>
      </c>
      <c r="I9" s="115">
        <f>SUM(I6:I8)</f>
        <v>80197.8</v>
      </c>
    </row>
    <row r="10" spans="1:9" x14ac:dyDescent="0.2">
      <c r="B10" s="116"/>
      <c r="C10" s="129"/>
      <c r="D10" s="130" t="s">
        <v>168</v>
      </c>
      <c r="E10" s="131">
        <f>E9*7%</f>
        <v>68.887</v>
      </c>
      <c r="G10" s="136"/>
      <c r="H10" s="137"/>
      <c r="I10" s="132"/>
    </row>
    <row r="11" spans="1:9" x14ac:dyDescent="0.2">
      <c r="B11" s="116"/>
      <c r="C11" s="129" t="s">
        <v>217</v>
      </c>
      <c r="D11" s="130" t="s">
        <v>200</v>
      </c>
      <c r="E11" s="131">
        <f>'R2_Jan-Mar23'!M5+'R2_Jan-Mar23'!M6+'R2_Jan-Mar23'!M7+'R2_Jan-Mar23'!M8+'R2_Jan-Mar23'!M9+'R2_Jan-Mar23'!M10</f>
        <v>2633.58</v>
      </c>
      <c r="G11" s="136"/>
      <c r="H11" s="132"/>
      <c r="I11" s="132"/>
    </row>
    <row r="12" spans="1:9" x14ac:dyDescent="0.2">
      <c r="B12" s="116"/>
      <c r="C12" s="129"/>
      <c r="D12" s="130" t="s">
        <v>201</v>
      </c>
      <c r="E12" s="131">
        <f>'R2_Jan-Mar23'!M13+'R2_Jan-Mar23'!M14</f>
        <v>1219.8</v>
      </c>
      <c r="G12" s="139" t="s">
        <v>199</v>
      </c>
      <c r="H12" s="165">
        <f>I9-H9-H10-H11</f>
        <v>27827.980000000003</v>
      </c>
      <c r="I12" s="140"/>
    </row>
    <row r="13" spans="1:9" x14ac:dyDescent="0.2">
      <c r="B13" s="116"/>
      <c r="C13" s="134"/>
      <c r="D13" s="135" t="s">
        <v>168</v>
      </c>
      <c r="E13" s="159">
        <f>(E11+E12)*7%</f>
        <v>269.73660000000001</v>
      </c>
    </row>
    <row r="14" spans="1:9" x14ac:dyDescent="0.2">
      <c r="A14" s="143" t="s">
        <v>205</v>
      </c>
      <c r="B14" s="123">
        <f>I6-E8-E14</f>
        <v>34268.498800000001</v>
      </c>
      <c r="C14" s="298" t="s">
        <v>210</v>
      </c>
      <c r="D14" s="299"/>
      <c r="E14" s="160">
        <f>SUM(E9:E13)</f>
        <v>5176.1036000000004</v>
      </c>
    </row>
    <row r="15" spans="1:9" x14ac:dyDescent="0.2">
      <c r="B15" s="116"/>
      <c r="C15" s="117" t="s">
        <v>216</v>
      </c>
      <c r="D15" s="118" t="s">
        <v>200</v>
      </c>
      <c r="E15" s="138">
        <f>'R3_Apr-Jun23'!M5+'R3_Apr-Jun23'!M6+'R3_Apr-Jun23'!M7+'R3_Apr-Jun23'!M8+'R3_Apr-Jun23'!M9+'R3_Apr-Jun23'!M10+'R3_Apr-Jun23'!M11+'R3_Apr-Jun23'!M12+'R3_Apr-Jun23'!M13+'R3_Apr-Jun23'!M14+'R3_Apr-Jun23'!M15+'R3_Apr-Jun23'!M16+'R3_Apr-Jun23'!M17+'R3_Apr-Jun23'!M18+'R3_Apr-Jun23'!M19+'R3_Apr-Jun23'!M20+'R3_Apr-Jun23'!M21</f>
        <v>1693.4904000000001</v>
      </c>
      <c r="G15" s="148" t="s">
        <v>227</v>
      </c>
      <c r="H15" s="147">
        <f>H9+H10+H11</f>
        <v>52369.82</v>
      </c>
    </row>
    <row r="16" spans="1:9" x14ac:dyDescent="0.2">
      <c r="B16" s="116"/>
      <c r="C16" s="119"/>
      <c r="D16" s="120" t="s">
        <v>201</v>
      </c>
      <c r="E16" s="142">
        <f>'R3_Apr-Jun23'!M22</f>
        <v>86.4</v>
      </c>
      <c r="G16" s="149" t="s">
        <v>199</v>
      </c>
      <c r="H16" s="150">
        <f>I9-H15</f>
        <v>27827.980000000003</v>
      </c>
    </row>
    <row r="17" spans="1:5" x14ac:dyDescent="0.2">
      <c r="B17" s="116"/>
      <c r="C17" s="121"/>
      <c r="D17" s="122" t="s">
        <v>168</v>
      </c>
      <c r="E17" s="157">
        <f>(E15+E16)*7%</f>
        <v>124.59232800000002</v>
      </c>
    </row>
    <row r="18" spans="1:5" x14ac:dyDescent="0.2">
      <c r="A18" s="143" t="s">
        <v>205</v>
      </c>
      <c r="B18" s="123">
        <f>I6-E8-E14-E18</f>
        <v>32364.016072000002</v>
      </c>
      <c r="C18" s="300" t="s">
        <v>211</v>
      </c>
      <c r="D18" s="301"/>
      <c r="E18" s="158">
        <f>SUM(E15:E17)</f>
        <v>1904.4827280000002</v>
      </c>
    </row>
    <row r="19" spans="1:5" x14ac:dyDescent="0.2">
      <c r="B19" s="116"/>
      <c r="C19" s="124" t="s">
        <v>215</v>
      </c>
      <c r="D19" s="125" t="s">
        <v>200</v>
      </c>
      <c r="E19" s="126">
        <f>'R4_Jul-Sept23'!M5+'R4_Jul-Sept23'!M6+'R4_Jul-Sept23'!M7+'R4_Jul-Sept23'!M8+'R4_Jul-Sept23'!M9+'R4_Jul-Sept23'!M10</f>
        <v>1660.53</v>
      </c>
    </row>
    <row r="20" spans="1:5" x14ac:dyDescent="0.2">
      <c r="B20" s="116"/>
      <c r="C20" s="129"/>
      <c r="D20" s="130" t="s">
        <v>201</v>
      </c>
      <c r="E20" s="131">
        <f>'R4_Jul-Sept23'!M11+'R4_Jul-Sept23'!M12+'R4_Jul-Sept23'!M13</f>
        <v>116.21</v>
      </c>
    </row>
    <row r="21" spans="1:5" x14ac:dyDescent="0.2">
      <c r="B21" s="141"/>
      <c r="C21" s="134"/>
      <c r="D21" s="135" t="s">
        <v>168</v>
      </c>
      <c r="E21" s="159">
        <v>124.37</v>
      </c>
    </row>
    <row r="22" spans="1:5" x14ac:dyDescent="0.2">
      <c r="A22" s="143" t="s">
        <v>205</v>
      </c>
      <c r="B22" s="123">
        <f>B18+I7-E22</f>
        <v>70411.806072000007</v>
      </c>
      <c r="C22" s="298" t="s">
        <v>212</v>
      </c>
      <c r="D22" s="299"/>
      <c r="E22" s="160">
        <f>SUM(E19:E21)</f>
        <v>1901.1100000000001</v>
      </c>
    </row>
    <row r="23" spans="1:5" x14ac:dyDescent="0.2">
      <c r="B23" s="116"/>
      <c r="C23" s="117" t="s">
        <v>214</v>
      </c>
      <c r="D23" s="118" t="s">
        <v>200</v>
      </c>
      <c r="E23" s="138">
        <f>'R5_Oct-Dec23'!M5+'R5_Oct-Dec23'!M6+'R5_Oct-Dec23'!M7+'R5_Oct-Dec23'!M8</f>
        <v>1690.7</v>
      </c>
    </row>
    <row r="24" spans="1:5" x14ac:dyDescent="0.2">
      <c r="B24" s="116"/>
      <c r="C24" s="119"/>
      <c r="D24" s="120" t="s">
        <v>201</v>
      </c>
      <c r="E24" s="142">
        <f>'R5_Oct-Dec23'!M9+'R5_Oct-Dec23'!M10+'R5_Oct-Dec23'!M11+'R5_Oct-Dec23'!M12+'R5_Oct-Dec23'!M13+'R5_Oct-Dec23'!M14+'R5_Oct-Dec23'!M15+'R5_Oct-Dec23'!M16+'R5_Oct-Dec23'!M17+'R5_Oct-Dec23'!M18+'R5_Oct-Dec23'!M19+'R5_Oct-Dec23'!M20</f>
        <v>4505.2100000000009</v>
      </c>
    </row>
    <row r="25" spans="1:5" x14ac:dyDescent="0.2">
      <c r="B25" s="116"/>
      <c r="C25" s="121"/>
      <c r="D25" s="122" t="s">
        <v>168</v>
      </c>
      <c r="E25" s="157">
        <f>(E23+E24)*7%</f>
        <v>433.71370000000007</v>
      </c>
    </row>
    <row r="26" spans="1:5" x14ac:dyDescent="0.2">
      <c r="B26" s="116"/>
      <c r="C26" s="300" t="s">
        <v>213</v>
      </c>
      <c r="D26" s="301"/>
      <c r="E26" s="158">
        <f>SUM(E23:E25)</f>
        <v>6629.623700000001</v>
      </c>
    </row>
    <row r="27" spans="1:5" x14ac:dyDescent="0.2">
      <c r="A27" s="143" t="s">
        <v>205</v>
      </c>
      <c r="B27" s="123">
        <f>I9-E27</f>
        <v>63782.182372000003</v>
      </c>
      <c r="C27" s="144" t="s">
        <v>220</v>
      </c>
      <c r="D27" s="145" t="s">
        <v>206</v>
      </c>
      <c r="E27" s="146">
        <f>E8+E14+E18+E22+E26</f>
        <v>16415.617628</v>
      </c>
    </row>
    <row r="28" spans="1:5" x14ac:dyDescent="0.2">
      <c r="B28" s="116"/>
      <c r="C28" s="124" t="s">
        <v>221</v>
      </c>
      <c r="D28" s="125" t="s">
        <v>200</v>
      </c>
      <c r="E28" s="126">
        <v>0</v>
      </c>
    </row>
    <row r="29" spans="1:5" x14ac:dyDescent="0.2">
      <c r="B29" s="116"/>
      <c r="C29" s="129"/>
      <c r="D29" s="130" t="s">
        <v>201</v>
      </c>
      <c r="E29" s="131">
        <f>'R6_Jan-Jun24'!M5+'R6_Jan-Jun24'!M6+'R6_Jan-Jun24'!M7+'R6_Jan-Jun24'!M8+'R6_Jan-Jun24'!M9+'R6_Jan-Jun24'!M10+'R6_Jan-Jun24'!M11+'R6_Jan-Jun24'!M12+'R6_Jan-Jun24'!M13+'R6_Jan-Jun24'!M14+'R6_Jan-Jun24'!M15+'R6_Jan-Jun24'!M16+'R6_Jan-Jun24'!M17+'R6_Jan-Jun24'!M18+'R6_Jan-Jun24'!M19+'R6_Jan-Jun24'!M20+'R6_Jan-Jun24'!M21+'R6_Jan-Jun24'!M22+'R6_Jan-Jun24'!M23+'R6_Jan-Jun24'!M24+'R6_Jan-Jun24'!M25+'R6_Jan-Jun24'!M26+'R6_Jan-Jun24'!M27+'R6_Jan-Jun24'!M28+'R6_Jan-Jun24'!M29</f>
        <v>12488.080000000002</v>
      </c>
    </row>
    <row r="30" spans="1:5" x14ac:dyDescent="0.2">
      <c r="B30" s="116"/>
      <c r="C30" s="134"/>
      <c r="D30" s="135" t="s">
        <v>168</v>
      </c>
      <c r="E30" s="159">
        <f>(E28+E29)*7%</f>
        <v>874.16560000000015</v>
      </c>
    </row>
    <row r="31" spans="1:5" x14ac:dyDescent="0.2">
      <c r="B31" s="116"/>
      <c r="C31" s="298" t="s">
        <v>222</v>
      </c>
      <c r="D31" s="299"/>
      <c r="E31" s="160">
        <f>SUM(E28:E30)</f>
        <v>13362.245600000002</v>
      </c>
    </row>
    <row r="32" spans="1:5" x14ac:dyDescent="0.2">
      <c r="B32" s="116"/>
      <c r="C32" s="124" t="s">
        <v>223</v>
      </c>
      <c r="D32" s="125" t="s">
        <v>200</v>
      </c>
      <c r="E32" s="126">
        <f>'R7_Jul-Oct24'!M11+'R7_Jul-Oct24'!M12</f>
        <v>1697.99</v>
      </c>
    </row>
    <row r="33" spans="1:8" x14ac:dyDescent="0.2">
      <c r="B33" s="116"/>
      <c r="C33" s="129"/>
      <c r="D33" s="130" t="s">
        <v>201</v>
      </c>
      <c r="E33" s="131">
        <f>'R7_Jul-Oct24'!M5+'R7_Jul-Oct24'!M6+'R7_Jul-Oct24'!M7+'R7_Jul-Oct24'!M8+'R7_Jul-Oct24'!M9+'R7_Jul-Oct24'!M10+0.01</f>
        <v>5080.2800000000007</v>
      </c>
    </row>
    <row r="34" spans="1:8" x14ac:dyDescent="0.2">
      <c r="B34" s="116"/>
      <c r="C34" s="134"/>
      <c r="D34" s="135" t="s">
        <v>168</v>
      </c>
      <c r="E34" s="159">
        <f>(E32+E33)*7%</f>
        <v>474.47890000000007</v>
      </c>
    </row>
    <row r="35" spans="1:8" x14ac:dyDescent="0.2">
      <c r="B35" s="116"/>
      <c r="C35" s="298" t="s">
        <v>224</v>
      </c>
      <c r="D35" s="299"/>
      <c r="E35" s="160">
        <f>SUM(E32:E34)</f>
        <v>7252.7489000000005</v>
      </c>
    </row>
    <row r="36" spans="1:8" x14ac:dyDescent="0.2">
      <c r="B36" s="116"/>
      <c r="C36" s="124" t="s">
        <v>226</v>
      </c>
      <c r="D36" s="125" t="s">
        <v>200</v>
      </c>
      <c r="E36" s="126">
        <v>0</v>
      </c>
    </row>
    <row r="37" spans="1:8" x14ac:dyDescent="0.2">
      <c r="B37" s="116"/>
      <c r="C37" s="129"/>
      <c r="D37" s="130" t="s">
        <v>201</v>
      </c>
      <c r="E37" s="131">
        <f>'R8_Nov-Dec24'!M5+'R8_Nov-Dec24'!M6+'R8_Nov-Dec24'!M7+'R8_Nov-Dec24'!M8+'R8_Nov-Dec24'!M9+'R8_Nov-Dec24'!M10+'R8_Nov-Dec24'!M11</f>
        <v>14335.74</v>
      </c>
    </row>
    <row r="38" spans="1:8" x14ac:dyDescent="0.2">
      <c r="B38" s="116"/>
      <c r="C38" s="134"/>
      <c r="D38" s="135" t="s">
        <v>168</v>
      </c>
      <c r="E38" s="159">
        <f>(E36+E37)*7%</f>
        <v>1003.5018000000001</v>
      </c>
    </row>
    <row r="39" spans="1:8" x14ac:dyDescent="0.2">
      <c r="B39" s="116"/>
      <c r="C39" s="298" t="s">
        <v>225</v>
      </c>
      <c r="D39" s="299"/>
      <c r="E39" s="160">
        <f>SUM(E36:E38)</f>
        <v>15339.2418</v>
      </c>
    </row>
    <row r="40" spans="1:8" x14ac:dyDescent="0.2">
      <c r="A40" s="161" t="s">
        <v>207</v>
      </c>
      <c r="B40" s="162">
        <f>I9-E40</f>
        <v>27827.946072000006</v>
      </c>
      <c r="C40" s="163" t="s">
        <v>228</v>
      </c>
      <c r="D40" s="164" t="s">
        <v>206</v>
      </c>
      <c r="E40" s="166">
        <f>E8+E14+E18+E22+E31+E26+E35+E39</f>
        <v>52369.853927999997</v>
      </c>
      <c r="G40" s="151" t="s">
        <v>229</v>
      </c>
      <c r="H40" s="152">
        <f>B40-H16</f>
        <v>-3.3927999997104052E-2</v>
      </c>
    </row>
    <row r="41" spans="1:8" x14ac:dyDescent="0.2">
      <c r="A41" s="116"/>
      <c r="B41" s="116"/>
      <c r="C41" s="116"/>
    </row>
    <row r="42" spans="1:8" x14ac:dyDescent="0.2">
      <c r="A42" s="116"/>
      <c r="B42" s="116"/>
      <c r="C42" s="116"/>
    </row>
    <row r="43" spans="1:8" x14ac:dyDescent="0.2">
      <c r="A43" s="116"/>
      <c r="B43" s="116"/>
      <c r="C43" s="116"/>
    </row>
    <row r="44" spans="1:8" x14ac:dyDescent="0.2">
      <c r="A44" s="116"/>
      <c r="B44" s="116"/>
      <c r="C44" s="116"/>
    </row>
    <row r="45" spans="1:8" x14ac:dyDescent="0.2">
      <c r="A45" s="116"/>
      <c r="B45" s="116"/>
      <c r="C45" s="116"/>
    </row>
    <row r="46" spans="1:8" x14ac:dyDescent="0.2">
      <c r="A46" s="116"/>
      <c r="B46" s="116"/>
      <c r="C46" s="116"/>
    </row>
    <row r="47" spans="1:8" x14ac:dyDescent="0.2">
      <c r="A47" s="116"/>
      <c r="B47" s="116"/>
    </row>
  </sheetData>
  <mergeCells count="8">
    <mergeCell ref="C35:D35"/>
    <mergeCell ref="C39:D39"/>
    <mergeCell ref="C8:D8"/>
    <mergeCell ref="C14:D14"/>
    <mergeCell ref="C18:D18"/>
    <mergeCell ref="C22:D22"/>
    <mergeCell ref="C26:D26"/>
    <mergeCell ref="C31:D3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117FD-43E0-4070-92C6-EDD47DF06B3A}">
  <dimension ref="A1:O75"/>
  <sheetViews>
    <sheetView zoomScale="60" zoomScaleNormal="60" workbookViewId="0">
      <selection activeCell="F14" sqref="F14"/>
    </sheetView>
  </sheetViews>
  <sheetFormatPr defaultColWidth="9.85546875" defaultRowHeight="15" x14ac:dyDescent="0.2"/>
  <cols>
    <col min="1" max="1" width="14.5703125" style="8" customWidth="1"/>
    <col min="2" max="2" width="15.140625" style="8" customWidth="1"/>
    <col min="3" max="3" width="20" style="8" customWidth="1"/>
    <col min="4" max="4" width="16.140625" style="1" customWidth="1"/>
    <col min="5" max="5" width="17.85546875" style="9" customWidth="1"/>
    <col min="6" max="6" width="17" style="9" customWidth="1"/>
    <col min="7" max="7" width="24.5703125" style="10" customWidth="1"/>
    <col min="8" max="8" width="67.140625" style="1" bestFit="1" customWidth="1"/>
    <col min="9" max="9" width="15.7109375" style="1" customWidth="1"/>
    <col min="10" max="10" width="18.42578125" style="1" customWidth="1"/>
    <col min="11" max="11" width="14.42578125" style="1" customWidth="1"/>
    <col min="12" max="12" width="14.42578125" style="11" customWidth="1"/>
    <col min="13" max="13" width="13.42578125" style="11" customWidth="1"/>
    <col min="14" max="16384" width="9.85546875" style="1"/>
  </cols>
  <sheetData>
    <row r="1" spans="1:15" s="2" customFormat="1" ht="31.5" x14ac:dyDescent="0.2">
      <c r="A1" s="7"/>
      <c r="B1" s="5" t="s">
        <v>0</v>
      </c>
      <c r="C1" s="25" t="s">
        <v>26</v>
      </c>
      <c r="D1" s="6" t="s">
        <v>1</v>
      </c>
      <c r="E1" s="304"/>
      <c r="F1" s="305"/>
      <c r="G1" s="306"/>
      <c r="H1" s="4" t="s">
        <v>2</v>
      </c>
      <c r="I1" s="4"/>
      <c r="J1" s="307" t="s">
        <v>36</v>
      </c>
      <c r="K1" s="307"/>
      <c r="L1" s="307"/>
      <c r="M1" s="307"/>
    </row>
    <row r="2" spans="1:15" ht="61.5" x14ac:dyDescent="0.25">
      <c r="A2" s="49"/>
      <c r="B2" s="6" t="s">
        <v>3</v>
      </c>
      <c r="C2" s="25" t="s">
        <v>44</v>
      </c>
      <c r="D2" s="6" t="s">
        <v>4</v>
      </c>
      <c r="E2" s="304" t="s">
        <v>27</v>
      </c>
      <c r="F2" s="305"/>
      <c r="G2" s="306"/>
      <c r="H2" s="3"/>
      <c r="I2" s="3"/>
      <c r="J2" s="3"/>
      <c r="K2" s="3"/>
      <c r="L2" s="13" t="s">
        <v>5</v>
      </c>
      <c r="M2" s="26" t="s">
        <v>25</v>
      </c>
    </row>
    <row r="3" spans="1:15" s="12" customFormat="1" ht="63" x14ac:dyDescent="0.2">
      <c r="A3" s="50" t="s">
        <v>6</v>
      </c>
      <c r="B3" s="50" t="s">
        <v>7</v>
      </c>
      <c r="C3" s="50" t="s">
        <v>8</v>
      </c>
      <c r="D3" s="14" t="s">
        <v>9</v>
      </c>
      <c r="E3" s="50" t="s">
        <v>10</v>
      </c>
      <c r="F3" s="51" t="s">
        <v>11</v>
      </c>
      <c r="G3" s="51" t="s">
        <v>12</v>
      </c>
      <c r="H3" s="52" t="s">
        <v>13</v>
      </c>
      <c r="I3" s="53" t="s">
        <v>14</v>
      </c>
      <c r="J3" s="53" t="s">
        <v>15</v>
      </c>
      <c r="K3" s="52" t="s">
        <v>16</v>
      </c>
      <c r="L3" s="53" t="s">
        <v>17</v>
      </c>
      <c r="M3" s="53" t="s">
        <v>18</v>
      </c>
    </row>
    <row r="4" spans="1:15" ht="15" customHeight="1" x14ac:dyDescent="0.25">
      <c r="A4" s="54">
        <v>44926</v>
      </c>
      <c r="B4" s="54"/>
      <c r="C4" s="54"/>
      <c r="D4" s="55" t="s">
        <v>30</v>
      </c>
      <c r="E4" s="56"/>
      <c r="F4" s="57"/>
      <c r="G4" s="58"/>
      <c r="H4" s="59" t="s">
        <v>19</v>
      </c>
      <c r="I4" s="60">
        <v>39444.6</v>
      </c>
      <c r="J4" s="60"/>
      <c r="K4" s="60"/>
      <c r="L4" s="61">
        <v>39444.6</v>
      </c>
      <c r="M4" s="61">
        <v>0</v>
      </c>
    </row>
    <row r="5" spans="1:15" ht="15" customHeight="1" x14ac:dyDescent="0.2">
      <c r="A5" s="62">
        <v>44957</v>
      </c>
      <c r="B5" s="62">
        <v>44957</v>
      </c>
      <c r="C5" s="62">
        <v>44957</v>
      </c>
      <c r="D5" s="63" t="s">
        <v>30</v>
      </c>
      <c r="E5" s="43" t="s">
        <v>33</v>
      </c>
      <c r="F5" s="64" t="s">
        <v>68</v>
      </c>
      <c r="G5" s="65" t="s">
        <v>45</v>
      </c>
      <c r="H5" s="66" t="s">
        <v>230</v>
      </c>
      <c r="I5" s="67"/>
      <c r="J5" s="67">
        <v>422.68</v>
      </c>
      <c r="K5" s="67"/>
      <c r="L5" s="67"/>
      <c r="M5" s="67">
        <f>J5</f>
        <v>422.68</v>
      </c>
      <c r="N5" s="1" t="s">
        <v>40</v>
      </c>
      <c r="O5" s="1" t="s">
        <v>47</v>
      </c>
    </row>
    <row r="6" spans="1:15" ht="15" customHeight="1" x14ac:dyDescent="0.2">
      <c r="A6" s="62">
        <v>44985</v>
      </c>
      <c r="B6" s="62">
        <v>44985</v>
      </c>
      <c r="C6" s="62">
        <v>44985</v>
      </c>
      <c r="D6" s="63" t="s">
        <v>30</v>
      </c>
      <c r="E6" s="43" t="s">
        <v>33</v>
      </c>
      <c r="F6" s="64" t="s">
        <v>68</v>
      </c>
      <c r="G6" s="65" t="s">
        <v>45</v>
      </c>
      <c r="H6" s="66" t="s">
        <v>231</v>
      </c>
      <c r="I6" s="67"/>
      <c r="J6" s="67">
        <v>422.68</v>
      </c>
      <c r="K6" s="67"/>
      <c r="L6" s="67"/>
      <c r="M6" s="67">
        <f t="shared" ref="M6:M14" si="0">J6</f>
        <v>422.68</v>
      </c>
      <c r="N6" s="1" t="s">
        <v>41</v>
      </c>
      <c r="O6" s="1" t="s">
        <v>47</v>
      </c>
    </row>
    <row r="7" spans="1:15" ht="15" customHeight="1" x14ac:dyDescent="0.2">
      <c r="A7" s="62">
        <v>45016</v>
      </c>
      <c r="B7" s="62">
        <v>45016</v>
      </c>
      <c r="C7" s="62">
        <v>45016</v>
      </c>
      <c r="D7" s="63" t="s">
        <v>30</v>
      </c>
      <c r="E7" s="43" t="s">
        <v>33</v>
      </c>
      <c r="F7" s="64" t="s">
        <v>68</v>
      </c>
      <c r="G7" s="65" t="s">
        <v>45</v>
      </c>
      <c r="H7" s="66" t="s">
        <v>232</v>
      </c>
      <c r="I7" s="67"/>
      <c r="J7" s="67">
        <v>422.68</v>
      </c>
      <c r="K7" s="67"/>
      <c r="L7" s="67"/>
      <c r="M7" s="67">
        <f t="shared" si="0"/>
        <v>422.68</v>
      </c>
      <c r="N7" s="1" t="s">
        <v>42</v>
      </c>
      <c r="O7" s="1" t="s">
        <v>47</v>
      </c>
    </row>
    <row r="8" spans="1:15" ht="15" customHeight="1" x14ac:dyDescent="0.2">
      <c r="A8" s="62">
        <v>44957</v>
      </c>
      <c r="B8" s="62">
        <v>44957</v>
      </c>
      <c r="C8" s="62">
        <v>44957</v>
      </c>
      <c r="D8" s="63" t="s">
        <v>30</v>
      </c>
      <c r="E8" s="43" t="s">
        <v>33</v>
      </c>
      <c r="F8" s="64" t="s">
        <v>68</v>
      </c>
      <c r="G8" s="65" t="s">
        <v>45</v>
      </c>
      <c r="H8" s="66" t="s">
        <v>233</v>
      </c>
      <c r="I8" s="67"/>
      <c r="J8" s="67">
        <v>455.18</v>
      </c>
      <c r="K8" s="67"/>
      <c r="L8" s="67"/>
      <c r="M8" s="67">
        <f t="shared" si="0"/>
        <v>455.18</v>
      </c>
      <c r="N8" s="1" t="s">
        <v>43</v>
      </c>
      <c r="O8" s="1" t="s">
        <v>47</v>
      </c>
    </row>
    <row r="9" spans="1:15" ht="15" customHeight="1" x14ac:dyDescent="0.2">
      <c r="A9" s="62">
        <v>44985</v>
      </c>
      <c r="B9" s="62">
        <v>44985</v>
      </c>
      <c r="C9" s="62">
        <v>44985</v>
      </c>
      <c r="D9" s="63" t="s">
        <v>30</v>
      </c>
      <c r="E9" s="43" t="s">
        <v>33</v>
      </c>
      <c r="F9" s="64" t="s">
        <v>68</v>
      </c>
      <c r="G9" s="65" t="s">
        <v>45</v>
      </c>
      <c r="H9" s="66" t="s">
        <v>234</v>
      </c>
      <c r="I9" s="67"/>
      <c r="J9" s="67">
        <v>455.18</v>
      </c>
      <c r="K9" s="67"/>
      <c r="L9" s="67"/>
      <c r="M9" s="67">
        <f t="shared" si="0"/>
        <v>455.18</v>
      </c>
      <c r="N9" s="1" t="s">
        <v>52</v>
      </c>
      <c r="O9" s="1" t="s">
        <v>47</v>
      </c>
    </row>
    <row r="10" spans="1:15" ht="15" customHeight="1" x14ac:dyDescent="0.2">
      <c r="A10" s="62">
        <v>45016</v>
      </c>
      <c r="B10" s="62">
        <v>45016</v>
      </c>
      <c r="C10" s="62">
        <v>45016</v>
      </c>
      <c r="D10" s="63" t="s">
        <v>30</v>
      </c>
      <c r="E10" s="43" t="s">
        <v>33</v>
      </c>
      <c r="F10" s="64" t="s">
        <v>68</v>
      </c>
      <c r="G10" s="65" t="s">
        <v>45</v>
      </c>
      <c r="H10" s="66" t="s">
        <v>235</v>
      </c>
      <c r="I10" s="67"/>
      <c r="J10" s="67">
        <v>455.18</v>
      </c>
      <c r="K10" s="67"/>
      <c r="L10" s="67"/>
      <c r="M10" s="67">
        <f t="shared" si="0"/>
        <v>455.18</v>
      </c>
      <c r="N10" s="1" t="s">
        <v>54</v>
      </c>
      <c r="O10" s="1" t="s">
        <v>47</v>
      </c>
    </row>
    <row r="11" spans="1:15" ht="15" customHeight="1" x14ac:dyDescent="0.2">
      <c r="A11" s="62">
        <v>44926</v>
      </c>
      <c r="B11" s="62">
        <v>44926</v>
      </c>
      <c r="C11" s="62">
        <v>44957</v>
      </c>
      <c r="D11" s="63" t="s">
        <v>30</v>
      </c>
      <c r="E11" s="43" t="s">
        <v>33</v>
      </c>
      <c r="F11" s="64" t="s">
        <v>68</v>
      </c>
      <c r="G11" s="65" t="s">
        <v>45</v>
      </c>
      <c r="H11" s="66" t="s">
        <v>236</v>
      </c>
      <c r="I11" s="67"/>
      <c r="J11" s="67">
        <v>531.66999999999996</v>
      </c>
      <c r="K11" s="67"/>
      <c r="L11" s="67"/>
      <c r="M11" s="67">
        <f t="shared" si="0"/>
        <v>531.66999999999996</v>
      </c>
      <c r="N11" s="1" t="s">
        <v>56</v>
      </c>
      <c r="O11" s="1" t="s">
        <v>47</v>
      </c>
    </row>
    <row r="12" spans="1:15" ht="15" customHeight="1" x14ac:dyDescent="0.2">
      <c r="A12" s="62">
        <v>44926</v>
      </c>
      <c r="B12" s="62">
        <v>44926</v>
      </c>
      <c r="C12" s="62">
        <v>44957</v>
      </c>
      <c r="D12" s="63" t="s">
        <v>30</v>
      </c>
      <c r="E12" s="43" t="s">
        <v>33</v>
      </c>
      <c r="F12" s="64" t="s">
        <v>68</v>
      </c>
      <c r="G12" s="65" t="s">
        <v>45</v>
      </c>
      <c r="H12" s="66" t="s">
        <v>237</v>
      </c>
      <c r="I12" s="67"/>
      <c r="J12" s="67">
        <v>452.43</v>
      </c>
      <c r="K12" s="67"/>
      <c r="L12" s="67"/>
      <c r="M12" s="67">
        <f t="shared" si="0"/>
        <v>452.43</v>
      </c>
      <c r="N12" s="1" t="s">
        <v>58</v>
      </c>
      <c r="O12" s="1" t="s">
        <v>47</v>
      </c>
    </row>
    <row r="13" spans="1:15" ht="60.75" x14ac:dyDescent="0.2">
      <c r="A13" s="170">
        <v>44965</v>
      </c>
      <c r="B13" s="170">
        <v>44965</v>
      </c>
      <c r="C13" s="170">
        <v>44995</v>
      </c>
      <c r="D13" s="171" t="s">
        <v>30</v>
      </c>
      <c r="E13" s="43" t="s">
        <v>33</v>
      </c>
      <c r="F13" s="172" t="s">
        <v>107</v>
      </c>
      <c r="G13" s="68" t="s">
        <v>59</v>
      </c>
      <c r="H13" s="69" t="s">
        <v>238</v>
      </c>
      <c r="I13" s="67"/>
      <c r="J13" s="67">
        <v>831.8</v>
      </c>
      <c r="K13" s="67"/>
      <c r="L13" s="67"/>
      <c r="M13" s="67">
        <f t="shared" si="0"/>
        <v>831.8</v>
      </c>
      <c r="N13" s="1" t="s">
        <v>61</v>
      </c>
      <c r="O13" s="1" t="s">
        <v>47</v>
      </c>
    </row>
    <row r="14" spans="1:15" ht="45" x14ac:dyDescent="0.2">
      <c r="A14" s="170">
        <v>44956</v>
      </c>
      <c r="B14" s="170">
        <v>44956</v>
      </c>
      <c r="C14" s="170">
        <v>44985</v>
      </c>
      <c r="D14" s="171" t="s">
        <v>30</v>
      </c>
      <c r="E14" s="43" t="s">
        <v>33</v>
      </c>
      <c r="F14" s="172" t="s">
        <v>107</v>
      </c>
      <c r="G14" s="68" t="s">
        <v>31</v>
      </c>
      <c r="H14" s="169" t="s">
        <v>239</v>
      </c>
      <c r="I14" s="67"/>
      <c r="J14" s="67">
        <v>388</v>
      </c>
      <c r="K14" s="67"/>
      <c r="L14" s="67"/>
      <c r="M14" s="67">
        <f t="shared" si="0"/>
        <v>388</v>
      </c>
      <c r="N14" s="1" t="s">
        <v>63</v>
      </c>
      <c r="O14" s="1" t="s">
        <v>47</v>
      </c>
    </row>
    <row r="15" spans="1:15" ht="15" customHeight="1" x14ac:dyDescent="0.25">
      <c r="A15" s="42">
        <v>45016</v>
      </c>
      <c r="B15" s="42">
        <v>45016</v>
      </c>
      <c r="C15" s="42">
        <v>45016</v>
      </c>
      <c r="D15" s="25"/>
      <c r="E15" s="70" t="s">
        <v>33</v>
      </c>
      <c r="F15" s="156" t="s">
        <v>34</v>
      </c>
      <c r="G15" s="44" t="s">
        <v>28</v>
      </c>
      <c r="H15" s="48" t="s">
        <v>35</v>
      </c>
      <c r="I15" s="46"/>
      <c r="J15" s="46">
        <f>SUM(J5:J14)*7%</f>
        <v>338.62360000000001</v>
      </c>
      <c r="K15" s="46"/>
      <c r="L15" s="46"/>
      <c r="M15" s="46">
        <f>J15</f>
        <v>338.62360000000001</v>
      </c>
    </row>
    <row r="16" spans="1:15" ht="18" customHeight="1" x14ac:dyDescent="0.2">
      <c r="A16" s="3"/>
      <c r="B16" s="3"/>
      <c r="C16" s="3"/>
      <c r="D16" s="3"/>
      <c r="E16" s="3"/>
      <c r="F16" s="15"/>
      <c r="G16" s="16"/>
      <c r="H16" s="19" t="s">
        <v>20</v>
      </c>
      <c r="I16" s="19"/>
      <c r="J16" s="19"/>
      <c r="K16" s="19"/>
      <c r="L16" s="72">
        <f>SUM(L4:L15)</f>
        <v>39444.6</v>
      </c>
      <c r="M16" s="73">
        <f>SUM(M4:M15)</f>
        <v>5176.1035999999995</v>
      </c>
      <c r="N16" s="1" t="s">
        <v>64</v>
      </c>
      <c r="O16" s="1" t="s">
        <v>167</v>
      </c>
    </row>
    <row r="17" spans="1:13" ht="18" customHeight="1" x14ac:dyDescent="0.25">
      <c r="A17" s="3"/>
      <c r="B17" s="3"/>
      <c r="C17" s="3"/>
      <c r="D17" s="3"/>
      <c r="E17" s="3"/>
      <c r="F17" s="15"/>
      <c r="G17" s="16"/>
      <c r="H17" s="20" t="s">
        <v>21</v>
      </c>
      <c r="I17" s="20"/>
      <c r="J17" s="20"/>
      <c r="K17" s="19"/>
      <c r="L17" s="21" t="str">
        <f>IF(L16&lt;=M16,M16-L16,"")</f>
        <v/>
      </c>
      <c r="M17" s="21">
        <f>IF(M16&gt;=L16,"",L16-M16)</f>
        <v>34268.496399999996</v>
      </c>
    </row>
    <row r="18" spans="1:13" ht="18" customHeight="1" thickBot="1" x14ac:dyDescent="0.25">
      <c r="A18" s="3"/>
      <c r="B18" s="3"/>
      <c r="C18" s="3"/>
      <c r="D18" s="3"/>
      <c r="E18" s="3"/>
      <c r="F18" s="15"/>
      <c r="G18" s="16"/>
      <c r="H18" s="19" t="s">
        <v>22</v>
      </c>
      <c r="I18" s="19"/>
      <c r="J18" s="19"/>
      <c r="K18" s="19"/>
      <c r="L18" s="22">
        <f>SUM(L16:L17)</f>
        <v>39444.6</v>
      </c>
      <c r="M18" s="22">
        <f>SUM(M16:M17)</f>
        <v>39444.6</v>
      </c>
    </row>
    <row r="19" spans="1:13" ht="12.95" customHeight="1" thickTop="1" x14ac:dyDescent="0.2">
      <c r="A19" s="3"/>
      <c r="B19" s="3"/>
      <c r="C19" s="3"/>
      <c r="D19" s="3"/>
      <c r="E19" s="3"/>
      <c r="F19" s="15"/>
      <c r="G19" s="16"/>
      <c r="H19" s="3"/>
      <c r="I19" s="3"/>
      <c r="J19" s="3"/>
      <c r="K19" s="3"/>
      <c r="L19" s="23"/>
      <c r="M19" s="23"/>
    </row>
    <row r="20" spans="1:13" ht="24.95" customHeight="1" x14ac:dyDescent="0.2">
      <c r="A20" s="3"/>
      <c r="B20" s="3"/>
      <c r="C20" s="3"/>
      <c r="D20" s="3"/>
      <c r="E20" s="3"/>
      <c r="F20" s="17"/>
      <c r="G20" s="24" t="s">
        <v>23</v>
      </c>
      <c r="H20" s="308"/>
      <c r="I20" s="309"/>
      <c r="J20" s="309"/>
      <c r="K20" s="309"/>
      <c r="L20" s="309"/>
      <c r="M20" s="310"/>
    </row>
    <row r="21" spans="1:13" ht="12.95" customHeight="1" x14ac:dyDescent="0.2">
      <c r="A21" s="3"/>
      <c r="B21" s="3"/>
      <c r="C21" s="3"/>
      <c r="D21" s="3"/>
      <c r="E21" s="3"/>
      <c r="F21" s="15"/>
      <c r="G21" s="18"/>
      <c r="H21" s="3"/>
      <c r="I21" s="3"/>
      <c r="J21" s="3"/>
      <c r="K21" s="3"/>
      <c r="L21" s="23"/>
      <c r="M21" s="23"/>
    </row>
    <row r="22" spans="1:13" ht="24.95" customHeight="1" x14ac:dyDescent="0.2">
      <c r="A22" s="3"/>
      <c r="B22" s="3"/>
      <c r="C22" s="3"/>
      <c r="D22" s="3"/>
      <c r="E22" s="3"/>
      <c r="F22" s="17"/>
      <c r="G22" s="24" t="s">
        <v>24</v>
      </c>
      <c r="H22" s="311"/>
      <c r="I22" s="312"/>
      <c r="J22" s="312"/>
      <c r="K22" s="312"/>
      <c r="L22" s="312"/>
      <c r="M22" s="313"/>
    </row>
    <row r="23" spans="1:13" ht="12.95" customHeight="1" x14ac:dyDescent="0.2"/>
    <row r="24" spans="1:13" ht="12.95" customHeight="1" x14ac:dyDescent="0.2"/>
    <row r="25" spans="1:13" ht="12.95" customHeight="1" x14ac:dyDescent="0.2"/>
    <row r="26" spans="1:13" ht="12.95" customHeight="1" x14ac:dyDescent="0.2"/>
    <row r="27" spans="1:13" ht="12.95" customHeight="1" x14ac:dyDescent="0.2"/>
    <row r="28" spans="1:13" ht="12.95" customHeight="1" x14ac:dyDescent="0.2"/>
    <row r="29" spans="1:13" ht="12.95" customHeight="1" x14ac:dyDescent="0.2"/>
    <row r="30" spans="1:13" ht="12.95" customHeight="1" x14ac:dyDescent="0.2"/>
    <row r="31" spans="1:13" ht="12.95" customHeight="1" x14ac:dyDescent="0.2"/>
    <row r="32" spans="1:13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</sheetData>
  <mergeCells count="5">
    <mergeCell ref="E1:G1"/>
    <mergeCell ref="J1:M1"/>
    <mergeCell ref="E2:G2"/>
    <mergeCell ref="H20:M20"/>
    <mergeCell ref="H22:M2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8"/>
  <sheetViews>
    <sheetView zoomScale="70" zoomScaleNormal="70" workbookViewId="0">
      <selection activeCell="N9" sqref="N9"/>
    </sheetView>
  </sheetViews>
  <sheetFormatPr defaultColWidth="9.85546875" defaultRowHeight="15" x14ac:dyDescent="0.2"/>
  <cols>
    <col min="1" max="1" width="14" style="8" customWidth="1"/>
    <col min="2" max="2" width="15.42578125" style="8" customWidth="1"/>
    <col min="3" max="3" width="19.42578125" style="8" customWidth="1"/>
    <col min="4" max="4" width="21" style="1" customWidth="1"/>
    <col min="5" max="5" width="17.7109375" style="9" customWidth="1"/>
    <col min="6" max="6" width="16" style="9" customWidth="1"/>
    <col min="7" max="7" width="29.42578125" style="10" customWidth="1"/>
    <col min="8" max="8" width="53.28515625" style="1" customWidth="1"/>
    <col min="9" max="9" width="15.7109375" style="1" customWidth="1"/>
    <col min="10" max="10" width="18.42578125" style="1" customWidth="1"/>
    <col min="11" max="11" width="14.42578125" style="1" customWidth="1"/>
    <col min="12" max="12" width="14.42578125" style="11" customWidth="1"/>
    <col min="13" max="13" width="13.42578125" style="11" customWidth="1"/>
    <col min="14" max="16384" width="9.85546875" style="1"/>
  </cols>
  <sheetData>
    <row r="1" spans="1:15" s="2" customFormat="1" ht="25.5" customHeight="1" x14ac:dyDescent="0.2">
      <c r="A1" s="7"/>
      <c r="B1" s="5" t="s">
        <v>0</v>
      </c>
      <c r="C1" s="25" t="s">
        <v>26</v>
      </c>
      <c r="D1" s="6" t="s">
        <v>1</v>
      </c>
      <c r="E1" s="314"/>
      <c r="F1" s="315"/>
      <c r="G1" s="316"/>
      <c r="H1" s="4" t="s">
        <v>2</v>
      </c>
      <c r="I1" s="307" t="s">
        <v>36</v>
      </c>
      <c r="J1" s="307"/>
      <c r="K1" s="307"/>
      <c r="L1" s="307"/>
      <c r="M1" s="307"/>
    </row>
    <row r="2" spans="1:15" ht="74.25" customHeight="1" x14ac:dyDescent="0.2">
      <c r="A2" s="320" t="s">
        <v>3</v>
      </c>
      <c r="B2" s="321"/>
      <c r="C2" s="25" t="s">
        <v>29</v>
      </c>
      <c r="D2" s="6" t="s">
        <v>4</v>
      </c>
      <c r="E2" s="317" t="s">
        <v>27</v>
      </c>
      <c r="F2" s="318"/>
      <c r="G2" s="319"/>
      <c r="H2" s="3"/>
      <c r="I2" s="3"/>
      <c r="J2" s="3"/>
      <c r="K2" s="3"/>
      <c r="L2" s="13" t="s">
        <v>5</v>
      </c>
      <c r="M2" s="26" t="s">
        <v>25</v>
      </c>
    </row>
    <row r="3" spans="1:15" s="12" customFormat="1" ht="63" x14ac:dyDescent="0.2">
      <c r="A3" s="30" t="s">
        <v>6</v>
      </c>
      <c r="B3" s="30" t="s">
        <v>7</v>
      </c>
      <c r="C3" s="30" t="s">
        <v>8</v>
      </c>
      <c r="D3" s="14" t="s">
        <v>9</v>
      </c>
      <c r="E3" s="30" t="s">
        <v>10</v>
      </c>
      <c r="F3" s="31" t="s">
        <v>11</v>
      </c>
      <c r="G3" s="31" t="s">
        <v>12</v>
      </c>
      <c r="H3" s="32" t="s">
        <v>13</v>
      </c>
      <c r="I3" s="33" t="s">
        <v>14</v>
      </c>
      <c r="J3" s="33" t="s">
        <v>15</v>
      </c>
      <c r="K3" s="32" t="s">
        <v>16</v>
      </c>
      <c r="L3" s="33" t="s">
        <v>17</v>
      </c>
      <c r="M3" s="33" t="s">
        <v>18</v>
      </c>
    </row>
    <row r="4" spans="1:15" ht="15" customHeight="1" x14ac:dyDescent="0.25">
      <c r="A4" s="35">
        <v>44859</v>
      </c>
      <c r="B4" s="35"/>
      <c r="C4" s="35">
        <v>44859</v>
      </c>
      <c r="D4" s="36" t="s">
        <v>30</v>
      </c>
      <c r="E4" s="37"/>
      <c r="F4" s="37"/>
      <c r="G4" s="38"/>
      <c r="H4" s="39" t="s">
        <v>19</v>
      </c>
      <c r="I4" s="40">
        <v>40248.9</v>
      </c>
      <c r="J4" s="39"/>
      <c r="K4" s="39"/>
      <c r="L4" s="41">
        <f>I4</f>
        <v>40248.9</v>
      </c>
      <c r="M4" s="41">
        <v>0</v>
      </c>
    </row>
    <row r="5" spans="1:15" ht="62.25" customHeight="1" x14ac:dyDescent="0.2">
      <c r="A5" s="42">
        <v>44853</v>
      </c>
      <c r="B5" s="42">
        <v>44853</v>
      </c>
      <c r="C5" s="42">
        <v>44893</v>
      </c>
      <c r="D5" s="25" t="s">
        <v>30</v>
      </c>
      <c r="E5" s="43" t="s">
        <v>33</v>
      </c>
      <c r="F5" s="43" t="s">
        <v>32</v>
      </c>
      <c r="G5" s="44" t="s">
        <v>31</v>
      </c>
      <c r="H5" s="27" t="s">
        <v>37</v>
      </c>
      <c r="I5" s="45"/>
      <c r="J5" s="45">
        <v>516.08000000000004</v>
      </c>
      <c r="K5" s="45"/>
      <c r="L5" s="46"/>
      <c r="M5" s="46">
        <f>J5</f>
        <v>516.08000000000004</v>
      </c>
      <c r="N5" s="12" t="s">
        <v>40</v>
      </c>
    </row>
    <row r="6" spans="1:15" ht="75" x14ac:dyDescent="0.2">
      <c r="A6" s="42">
        <v>44882</v>
      </c>
      <c r="B6" s="42">
        <v>44882</v>
      </c>
      <c r="C6" s="42">
        <v>44897</v>
      </c>
      <c r="D6" s="25" t="s">
        <v>30</v>
      </c>
      <c r="E6" s="43" t="s">
        <v>33</v>
      </c>
      <c r="F6" s="43" t="s">
        <v>32</v>
      </c>
      <c r="G6" s="44" t="s">
        <v>28</v>
      </c>
      <c r="H6" s="28" t="s">
        <v>38</v>
      </c>
      <c r="I6" s="45"/>
      <c r="J6" s="47">
        <v>117.8</v>
      </c>
      <c r="K6" s="45"/>
      <c r="L6" s="46"/>
      <c r="M6" s="46">
        <f t="shared" ref="M6:M8" si="0">J6</f>
        <v>117.8</v>
      </c>
      <c r="N6" s="12" t="s">
        <v>41</v>
      </c>
    </row>
    <row r="7" spans="1:15" ht="75" x14ac:dyDescent="0.25">
      <c r="A7" s="42">
        <v>44882</v>
      </c>
      <c r="B7" s="42">
        <v>44882</v>
      </c>
      <c r="C7" s="42">
        <v>44903</v>
      </c>
      <c r="D7" s="25" t="s">
        <v>30</v>
      </c>
      <c r="E7" s="43" t="s">
        <v>33</v>
      </c>
      <c r="F7" s="43" t="s">
        <v>32</v>
      </c>
      <c r="G7" s="44" t="s">
        <v>28</v>
      </c>
      <c r="H7" s="29" t="s">
        <v>39</v>
      </c>
      <c r="I7" s="45"/>
      <c r="J7" s="47">
        <v>117.8</v>
      </c>
      <c r="K7" s="45"/>
      <c r="L7" s="46"/>
      <c r="M7" s="46">
        <f t="shared" ref="M7" si="1">J7</f>
        <v>117.8</v>
      </c>
      <c r="N7" s="12" t="s">
        <v>42</v>
      </c>
    </row>
    <row r="8" spans="1:15" ht="15" customHeight="1" x14ac:dyDescent="0.25">
      <c r="A8" s="42">
        <v>44926</v>
      </c>
      <c r="B8" s="42">
        <v>44926</v>
      </c>
      <c r="C8" s="42">
        <v>44926</v>
      </c>
      <c r="D8" s="25"/>
      <c r="E8" s="43" t="s">
        <v>33</v>
      </c>
      <c r="F8" s="43" t="s">
        <v>34</v>
      </c>
      <c r="G8" s="44" t="s">
        <v>28</v>
      </c>
      <c r="H8" s="48" t="s">
        <v>35</v>
      </c>
      <c r="I8" s="45"/>
      <c r="J8" s="47">
        <f>(J5+J6+J7)*7%</f>
        <v>52.617600000000003</v>
      </c>
      <c r="K8" s="45"/>
      <c r="L8" s="46"/>
      <c r="M8" s="46">
        <f t="shared" si="0"/>
        <v>52.617600000000003</v>
      </c>
      <c r="N8" s="1" t="s">
        <v>43</v>
      </c>
    </row>
    <row r="9" spans="1:15" ht="18" customHeight="1" x14ac:dyDescent="0.2">
      <c r="A9" s="3"/>
      <c r="B9" s="3"/>
      <c r="C9" s="3"/>
      <c r="D9" s="3"/>
      <c r="E9" s="3"/>
      <c r="F9" s="15"/>
      <c r="G9" s="16"/>
      <c r="H9" s="19" t="s">
        <v>20</v>
      </c>
      <c r="I9" s="19"/>
      <c r="J9" s="19"/>
      <c r="K9" s="19"/>
      <c r="L9" s="34">
        <f>SUM(L4:L8)</f>
        <v>40248.9</v>
      </c>
      <c r="M9" s="74">
        <f>SUM(M4:M8)</f>
        <v>804.29759999999999</v>
      </c>
      <c r="N9" s="1" t="s">
        <v>64</v>
      </c>
      <c r="O9" s="1" t="s">
        <v>167</v>
      </c>
    </row>
    <row r="10" spans="1:15" ht="18" customHeight="1" x14ac:dyDescent="0.25">
      <c r="A10" s="3"/>
      <c r="B10" s="3"/>
      <c r="C10" s="3"/>
      <c r="D10" s="3"/>
      <c r="E10" s="3"/>
      <c r="F10" s="15"/>
      <c r="G10" s="16"/>
      <c r="H10" s="20" t="s">
        <v>21</v>
      </c>
      <c r="I10" s="20"/>
      <c r="J10" s="20"/>
      <c r="K10" s="19"/>
      <c r="L10" s="21" t="str">
        <f>IF(L9&lt;=M9,M9-L9,"")</f>
        <v/>
      </c>
      <c r="M10" s="21">
        <f>IF(M9&gt;=L9,"",L9-M9)</f>
        <v>39444.602400000003</v>
      </c>
    </row>
    <row r="11" spans="1:15" ht="18" customHeight="1" thickBot="1" x14ac:dyDescent="0.25">
      <c r="A11" s="3"/>
      <c r="B11" s="3"/>
      <c r="C11" s="3"/>
      <c r="D11" s="3"/>
      <c r="E11" s="3"/>
      <c r="F11" s="15"/>
      <c r="G11" s="16"/>
      <c r="H11" s="19" t="s">
        <v>22</v>
      </c>
      <c r="I11" s="19"/>
      <c r="J11" s="19"/>
      <c r="K11" s="19"/>
      <c r="L11" s="22">
        <f>SUM(L9:L10)</f>
        <v>40248.9</v>
      </c>
      <c r="M11" s="22">
        <f>SUM(M9:M10)</f>
        <v>40248.9</v>
      </c>
    </row>
    <row r="12" spans="1:15" ht="12.95" customHeight="1" thickTop="1" x14ac:dyDescent="0.2">
      <c r="A12" s="3"/>
      <c r="B12" s="3"/>
      <c r="C12" s="3"/>
      <c r="D12" s="3"/>
      <c r="E12" s="3"/>
      <c r="F12" s="15"/>
      <c r="G12" s="16"/>
      <c r="H12" s="3"/>
      <c r="I12" s="3"/>
      <c r="J12" s="3"/>
      <c r="K12" s="3"/>
      <c r="L12" s="23"/>
      <c r="M12" s="23"/>
    </row>
    <row r="13" spans="1:15" ht="24.95" customHeight="1" x14ac:dyDescent="0.2">
      <c r="A13" s="3"/>
      <c r="B13" s="3"/>
      <c r="C13" s="3"/>
      <c r="D13" s="3"/>
      <c r="E13" s="3"/>
      <c r="F13" s="17"/>
      <c r="G13" s="24" t="s">
        <v>23</v>
      </c>
      <c r="H13" s="308"/>
      <c r="I13" s="309"/>
      <c r="J13" s="309"/>
      <c r="K13" s="309"/>
      <c r="L13" s="309"/>
      <c r="M13" s="310"/>
    </row>
    <row r="14" spans="1:15" ht="12.95" customHeight="1" x14ac:dyDescent="0.2">
      <c r="A14" s="3"/>
      <c r="B14" s="3"/>
      <c r="C14" s="3"/>
      <c r="D14" s="3"/>
      <c r="E14" s="3"/>
      <c r="F14" s="15"/>
      <c r="G14" s="18"/>
      <c r="H14" s="3"/>
      <c r="I14" s="3"/>
      <c r="J14" s="3"/>
      <c r="K14" s="3"/>
      <c r="L14" s="23"/>
      <c r="M14" s="23"/>
    </row>
    <row r="15" spans="1:15" ht="24.95" customHeight="1" x14ac:dyDescent="0.2">
      <c r="A15" s="3"/>
      <c r="B15" s="3"/>
      <c r="C15" s="3"/>
      <c r="D15" s="3"/>
      <c r="E15" s="3"/>
      <c r="F15" s="17"/>
      <c r="G15" s="24" t="s">
        <v>24</v>
      </c>
      <c r="H15" s="311"/>
      <c r="I15" s="312"/>
      <c r="J15" s="312"/>
      <c r="K15" s="312"/>
      <c r="L15" s="312"/>
      <c r="M15" s="313"/>
    </row>
    <row r="16" spans="1:15" ht="12.95" customHeight="1" x14ac:dyDescent="0.2"/>
    <row r="17" ht="12.95" customHeight="1" x14ac:dyDescent="0.2"/>
    <row r="18" ht="12.95" customHeight="1" x14ac:dyDescent="0.2"/>
    <row r="19" ht="12.95" customHeight="1" x14ac:dyDescent="0.2"/>
    <row r="20" ht="12.95" customHeight="1" x14ac:dyDescent="0.2"/>
    <row r="21" ht="12.95" customHeight="1" x14ac:dyDescent="0.2"/>
    <row r="22" ht="12.95" customHeight="1" x14ac:dyDescent="0.2"/>
    <row r="23" ht="12.95" customHeight="1" x14ac:dyDescent="0.2"/>
    <row r="24" ht="12.95" customHeight="1" x14ac:dyDescent="0.2"/>
    <row r="25" ht="12.95" customHeight="1" x14ac:dyDescent="0.2"/>
    <row r="26" ht="12.95" customHeight="1" x14ac:dyDescent="0.2"/>
    <row r="27" ht="12.95" customHeight="1" x14ac:dyDescent="0.2"/>
    <row r="28" ht="12.95" customHeight="1" x14ac:dyDescent="0.2"/>
    <row r="29" ht="12.95" customHeight="1" x14ac:dyDescent="0.2"/>
    <row r="30" ht="12.95" customHeight="1" x14ac:dyDescent="0.2"/>
    <row r="31" ht="12.95" customHeight="1" x14ac:dyDescent="0.2"/>
    <row r="32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</sheetData>
  <mergeCells count="6">
    <mergeCell ref="H13:M13"/>
    <mergeCell ref="H15:M15"/>
    <mergeCell ref="E1:G1"/>
    <mergeCell ref="E2:G2"/>
    <mergeCell ref="A2:B2"/>
    <mergeCell ref="I1:M1"/>
  </mergeCells>
  <phoneticPr fontId="0" type="noConversion"/>
  <printOptions horizontalCentered="1" gridLines="1"/>
  <pageMargins left="0.21" right="0.27559055118110237" top="0.43307086614173229" bottom="0.43307086614173229" header="0.23622047244094491" footer="0.35433070866141736"/>
  <pageSetup paperSize="9" scale="63" fitToHeight="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C203F-2F20-4F9D-9E09-9D0F3CE3420A}">
  <dimension ref="A3:B14"/>
  <sheetViews>
    <sheetView workbookViewId="0">
      <selection activeCell="B18" sqref="B18"/>
    </sheetView>
  </sheetViews>
  <sheetFormatPr defaultRowHeight="12.75" x14ac:dyDescent="0.2"/>
  <cols>
    <col min="1" max="1" width="13.7109375" bestFit="1" customWidth="1"/>
    <col min="2" max="2" width="39.7109375" bestFit="1" customWidth="1"/>
  </cols>
  <sheetData>
    <row r="3" spans="1:2" x14ac:dyDescent="0.2">
      <c r="A3" s="202" t="s">
        <v>10</v>
      </c>
      <c r="B3" t="s">
        <v>286</v>
      </c>
    </row>
    <row r="4" spans="1:2" x14ac:dyDescent="0.2">
      <c r="A4" s="203" t="s">
        <v>34</v>
      </c>
      <c r="B4" s="204">
        <v>3426.0646280000001</v>
      </c>
    </row>
    <row r="5" spans="1:2" x14ac:dyDescent="0.2">
      <c r="A5" s="203" t="s">
        <v>68</v>
      </c>
      <c r="B5" s="204">
        <v>10360.3904</v>
      </c>
    </row>
    <row r="6" spans="1:2" x14ac:dyDescent="0.2">
      <c r="A6" s="203" t="s">
        <v>32</v>
      </c>
      <c r="B6" s="204">
        <v>751.68</v>
      </c>
    </row>
    <row r="7" spans="1:2" x14ac:dyDescent="0.2">
      <c r="A7" s="203" t="s">
        <v>78</v>
      </c>
      <c r="B7" s="204">
        <v>9251.7999999999993</v>
      </c>
    </row>
    <row r="8" spans="1:2" x14ac:dyDescent="0.2">
      <c r="A8" s="203" t="s">
        <v>102</v>
      </c>
      <c r="B8" s="204">
        <v>1733.22</v>
      </c>
    </row>
    <row r="9" spans="1:2" x14ac:dyDescent="0.2">
      <c r="A9" s="203" t="s">
        <v>107</v>
      </c>
      <c r="B9" s="204">
        <v>21418.35</v>
      </c>
    </row>
    <row r="10" spans="1:2" x14ac:dyDescent="0.2">
      <c r="A10" s="203" t="s">
        <v>94</v>
      </c>
      <c r="B10" s="204">
        <v>1679.4</v>
      </c>
    </row>
    <row r="11" spans="1:2" x14ac:dyDescent="0.2">
      <c r="A11" s="203" t="s">
        <v>127</v>
      </c>
      <c r="B11" s="204">
        <v>3684.29</v>
      </c>
    </row>
    <row r="12" spans="1:2" x14ac:dyDescent="0.2">
      <c r="A12" s="203" t="s">
        <v>159</v>
      </c>
      <c r="B12" s="204">
        <v>64.650000000000006</v>
      </c>
    </row>
    <row r="13" spans="1:2" x14ac:dyDescent="0.2">
      <c r="A13" s="212" t="s">
        <v>284</v>
      </c>
      <c r="B13" s="213">
        <v>0</v>
      </c>
    </row>
    <row r="14" spans="1:2" x14ac:dyDescent="0.2">
      <c r="A14" s="203" t="s">
        <v>285</v>
      </c>
      <c r="B14" s="204">
        <v>52369.845028000003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8B514-8290-44D0-962C-07144C4B7881}">
  <dimension ref="A1:W147"/>
  <sheetViews>
    <sheetView tabSelected="1" zoomScale="80" zoomScaleNormal="80" workbookViewId="0">
      <pane ySplit="2" topLeftCell="A106" activePane="bottomLeft" state="frozen"/>
      <selection pane="bottomLeft" activeCell="O148" sqref="O148"/>
    </sheetView>
  </sheetViews>
  <sheetFormatPr defaultRowHeight="12.75" x14ac:dyDescent="0.2"/>
  <cols>
    <col min="1" max="1" width="15.28515625" customWidth="1"/>
    <col min="2" max="3" width="15.28515625" bestFit="1" customWidth="1"/>
    <col min="4" max="4" width="14.28515625" bestFit="1" customWidth="1"/>
    <col min="5" max="5" width="13.7109375" bestFit="1" customWidth="1"/>
    <col min="6" max="6" width="26.28515625" style="270" customWidth="1"/>
    <col min="7" max="7" width="34.85546875" bestFit="1" customWidth="1"/>
    <col min="8" max="8" width="51.7109375" bestFit="1" customWidth="1"/>
    <col min="9" max="9" width="11.140625" bestFit="1" customWidth="1"/>
    <col min="10" max="10" width="11.140625" customWidth="1"/>
    <col min="11" max="11" width="11.28515625" customWidth="1"/>
    <col min="12" max="12" width="14.42578125" customWidth="1"/>
    <col min="13" max="13" width="13.42578125" customWidth="1"/>
    <col min="14" max="14" width="14.28515625" customWidth="1"/>
    <col min="15" max="15" width="14.7109375" bestFit="1" customWidth="1"/>
    <col min="16" max="16" width="11.140625" style="180" bestFit="1" customWidth="1"/>
    <col min="17" max="17" width="11.42578125" bestFit="1" customWidth="1"/>
  </cols>
  <sheetData>
    <row r="1" spans="1:17" ht="22.9" customHeight="1" x14ac:dyDescent="0.25">
      <c r="A1" s="210"/>
      <c r="B1" s="210"/>
      <c r="C1" s="210"/>
      <c r="D1" s="210"/>
      <c r="E1" s="210"/>
      <c r="F1" s="254"/>
      <c r="G1" s="210"/>
      <c r="H1" s="210"/>
      <c r="I1" s="210"/>
      <c r="J1" s="210"/>
      <c r="K1" s="210"/>
      <c r="L1" s="210"/>
      <c r="M1" s="208">
        <f>SUBTOTAL(109,M4:M107)</f>
        <v>52369.845027999989</v>
      </c>
      <c r="N1" s="210"/>
      <c r="O1" s="210"/>
      <c r="P1" s="211"/>
      <c r="Q1" s="210"/>
    </row>
    <row r="2" spans="1:17" s="12" customFormat="1" ht="57.6" customHeight="1" x14ac:dyDescent="0.2">
      <c r="A2" s="30" t="s">
        <v>6</v>
      </c>
      <c r="B2" s="30" t="s">
        <v>7</v>
      </c>
      <c r="C2" s="30" t="s">
        <v>8</v>
      </c>
      <c r="D2" s="14" t="s">
        <v>9</v>
      </c>
      <c r="E2" s="205" t="s">
        <v>10</v>
      </c>
      <c r="F2" s="206" t="s">
        <v>11</v>
      </c>
      <c r="G2" s="31" t="s">
        <v>12</v>
      </c>
      <c r="H2" s="32" t="s">
        <v>13</v>
      </c>
      <c r="I2" s="33" t="s">
        <v>14</v>
      </c>
      <c r="J2" s="33" t="s">
        <v>15</v>
      </c>
      <c r="K2" s="32" t="s">
        <v>16</v>
      </c>
      <c r="L2" s="33" t="s">
        <v>17</v>
      </c>
      <c r="M2" s="207" t="s">
        <v>18</v>
      </c>
      <c r="N2" s="33" t="s">
        <v>281</v>
      </c>
      <c r="O2" s="33" t="s">
        <v>282</v>
      </c>
      <c r="P2" s="33" t="s">
        <v>283</v>
      </c>
      <c r="Q2" s="33" t="s">
        <v>287</v>
      </c>
    </row>
    <row r="3" spans="1:17" s="1" customFormat="1" ht="15.75" x14ac:dyDescent="0.25">
      <c r="A3" s="35">
        <v>44859</v>
      </c>
      <c r="B3" s="35"/>
      <c r="C3" s="35">
        <v>44859</v>
      </c>
      <c r="D3" s="36" t="s">
        <v>30</v>
      </c>
      <c r="E3" s="37"/>
      <c r="F3" s="255"/>
      <c r="G3" s="38"/>
      <c r="H3" s="39" t="s">
        <v>19</v>
      </c>
      <c r="I3" s="40">
        <v>80197.8</v>
      </c>
      <c r="J3" s="39"/>
      <c r="K3" s="39"/>
      <c r="L3" s="41">
        <f>I3</f>
        <v>80197.8</v>
      </c>
      <c r="M3" s="41">
        <v>0</v>
      </c>
      <c r="P3" s="179"/>
    </row>
    <row r="4" spans="1:17" s="223" customFormat="1" ht="57.6" customHeight="1" x14ac:dyDescent="0.25">
      <c r="A4" s="214">
        <v>44853</v>
      </c>
      <c r="B4" s="214">
        <v>44853</v>
      </c>
      <c r="C4" s="214">
        <v>44893</v>
      </c>
      <c r="D4" s="215" t="s">
        <v>30</v>
      </c>
      <c r="E4" s="216" t="s">
        <v>32</v>
      </c>
      <c r="F4" s="256" t="s">
        <v>32</v>
      </c>
      <c r="G4" s="217" t="s">
        <v>31</v>
      </c>
      <c r="H4" s="218" t="s">
        <v>37</v>
      </c>
      <c r="I4" s="219"/>
      <c r="J4" s="219">
        <v>516.08000000000004</v>
      </c>
      <c r="K4" s="219"/>
      <c r="L4" s="220"/>
      <c r="M4" s="220">
        <f>J4</f>
        <v>516.08000000000004</v>
      </c>
      <c r="N4" s="221" t="s">
        <v>263</v>
      </c>
      <c r="O4" s="221" t="s">
        <v>266</v>
      </c>
      <c r="P4" s="222"/>
    </row>
    <row r="5" spans="1:17" s="223" customFormat="1" ht="57.6" customHeight="1" x14ac:dyDescent="0.25">
      <c r="A5" s="214">
        <v>44882</v>
      </c>
      <c r="B5" s="214">
        <v>44882</v>
      </c>
      <c r="C5" s="214">
        <v>44897</v>
      </c>
      <c r="D5" s="215" t="s">
        <v>30</v>
      </c>
      <c r="E5" s="216" t="s">
        <v>32</v>
      </c>
      <c r="F5" s="256" t="s">
        <v>32</v>
      </c>
      <c r="G5" s="217" t="s">
        <v>28</v>
      </c>
      <c r="H5" s="224" t="s">
        <v>38</v>
      </c>
      <c r="I5" s="219"/>
      <c r="J5" s="225">
        <v>117.8</v>
      </c>
      <c r="K5" s="219"/>
      <c r="L5" s="220"/>
      <c r="M5" s="220">
        <f t="shared" ref="M5:M6" si="0">J5</f>
        <v>117.8</v>
      </c>
      <c r="N5" s="221" t="s">
        <v>263</v>
      </c>
      <c r="O5" s="221" t="s">
        <v>266</v>
      </c>
      <c r="P5" s="222"/>
    </row>
    <row r="6" spans="1:17" s="223" customFormat="1" ht="57.6" customHeight="1" x14ac:dyDescent="0.25">
      <c r="A6" s="214">
        <v>44882</v>
      </c>
      <c r="B6" s="214">
        <v>44882</v>
      </c>
      <c r="C6" s="214">
        <v>44903</v>
      </c>
      <c r="D6" s="215" t="s">
        <v>30</v>
      </c>
      <c r="E6" s="216" t="s">
        <v>32</v>
      </c>
      <c r="F6" s="256" t="s">
        <v>32</v>
      </c>
      <c r="G6" s="217" t="s">
        <v>28</v>
      </c>
      <c r="H6" s="226" t="s">
        <v>39</v>
      </c>
      <c r="I6" s="219"/>
      <c r="J6" s="225">
        <v>117.8</v>
      </c>
      <c r="K6" s="219"/>
      <c r="L6" s="220"/>
      <c r="M6" s="220">
        <f t="shared" si="0"/>
        <v>117.8</v>
      </c>
      <c r="N6" s="221" t="s">
        <v>263</v>
      </c>
      <c r="O6" s="221" t="s">
        <v>266</v>
      </c>
      <c r="P6" s="222"/>
    </row>
    <row r="7" spans="1:17" s="189" customFormat="1" ht="15.75" x14ac:dyDescent="0.25">
      <c r="A7" s="197">
        <v>44926</v>
      </c>
      <c r="B7" s="197">
        <v>44926</v>
      </c>
      <c r="C7" s="197">
        <v>44926</v>
      </c>
      <c r="D7" s="195"/>
      <c r="E7" s="183" t="s">
        <v>34</v>
      </c>
      <c r="F7" s="184" t="s">
        <v>34</v>
      </c>
      <c r="G7" s="185" t="s">
        <v>28</v>
      </c>
      <c r="H7" s="198" t="s">
        <v>35</v>
      </c>
      <c r="I7" s="199"/>
      <c r="J7" s="200">
        <f>(J4+J5+J6)*7%</f>
        <v>52.617600000000003</v>
      </c>
      <c r="K7" s="199"/>
      <c r="L7" s="196"/>
      <c r="M7" s="196">
        <f>J7</f>
        <v>52.617600000000003</v>
      </c>
      <c r="N7" s="201" t="s">
        <v>263</v>
      </c>
      <c r="O7" s="201" t="s">
        <v>266</v>
      </c>
      <c r="P7" s="190">
        <f>SUM(M4:M7)</f>
        <v>804.29759999999999</v>
      </c>
      <c r="Q7" s="190">
        <f>'R1_Oct-Dec22'!M9</f>
        <v>804.29759999999999</v>
      </c>
    </row>
    <row r="8" spans="1:17" s="223" customFormat="1" ht="15" customHeight="1" x14ac:dyDescent="0.25">
      <c r="A8" s="227">
        <v>44957</v>
      </c>
      <c r="B8" s="227">
        <v>44957</v>
      </c>
      <c r="C8" s="227">
        <v>44957</v>
      </c>
      <c r="D8" s="228" t="s">
        <v>30</v>
      </c>
      <c r="E8" s="229" t="s">
        <v>68</v>
      </c>
      <c r="F8" s="257" t="s">
        <v>68</v>
      </c>
      <c r="G8" s="230" t="s">
        <v>45</v>
      </c>
      <c r="H8" s="231" t="s">
        <v>46</v>
      </c>
      <c r="I8" s="232"/>
      <c r="J8" s="232">
        <v>422.68</v>
      </c>
      <c r="K8" s="232"/>
      <c r="L8" s="232"/>
      <c r="M8" s="232">
        <f>J8</f>
        <v>422.68</v>
      </c>
      <c r="N8" s="223" t="s">
        <v>264</v>
      </c>
      <c r="O8" s="223" t="s">
        <v>265</v>
      </c>
      <c r="P8" s="222"/>
    </row>
    <row r="9" spans="1:17" s="223" customFormat="1" ht="15" customHeight="1" x14ac:dyDescent="0.25">
      <c r="A9" s="227">
        <v>44985</v>
      </c>
      <c r="B9" s="227">
        <v>44985</v>
      </c>
      <c r="C9" s="227">
        <v>44985</v>
      </c>
      <c r="D9" s="228" t="s">
        <v>30</v>
      </c>
      <c r="E9" s="229" t="s">
        <v>68</v>
      </c>
      <c r="F9" s="257" t="s">
        <v>68</v>
      </c>
      <c r="G9" s="230" t="s">
        <v>45</v>
      </c>
      <c r="H9" s="231" t="s">
        <v>48</v>
      </c>
      <c r="I9" s="232"/>
      <c r="J9" s="232">
        <v>422.68</v>
      </c>
      <c r="K9" s="232"/>
      <c r="L9" s="232"/>
      <c r="M9" s="232">
        <f t="shared" ref="M9:M17" si="1">J9</f>
        <v>422.68</v>
      </c>
      <c r="N9" s="223" t="s">
        <v>264</v>
      </c>
      <c r="O9" s="223" t="s">
        <v>265</v>
      </c>
      <c r="P9" s="222"/>
    </row>
    <row r="10" spans="1:17" s="223" customFormat="1" ht="15" customHeight="1" x14ac:dyDescent="0.25">
      <c r="A10" s="227">
        <v>45016</v>
      </c>
      <c r="B10" s="227">
        <v>45016</v>
      </c>
      <c r="C10" s="227">
        <v>45016</v>
      </c>
      <c r="D10" s="228" t="s">
        <v>30</v>
      </c>
      <c r="E10" s="229" t="s">
        <v>68</v>
      </c>
      <c r="F10" s="257" t="s">
        <v>68</v>
      </c>
      <c r="G10" s="230" t="s">
        <v>45</v>
      </c>
      <c r="H10" s="231" t="s">
        <v>49</v>
      </c>
      <c r="I10" s="232"/>
      <c r="J10" s="232">
        <v>422.68</v>
      </c>
      <c r="K10" s="232"/>
      <c r="L10" s="232"/>
      <c r="M10" s="232">
        <f t="shared" si="1"/>
        <v>422.68</v>
      </c>
      <c r="N10" s="223" t="s">
        <v>264</v>
      </c>
      <c r="O10" s="223" t="s">
        <v>265</v>
      </c>
      <c r="P10" s="222"/>
    </row>
    <row r="11" spans="1:17" s="223" customFormat="1" ht="15" customHeight="1" x14ac:dyDescent="0.25">
      <c r="A11" s="227">
        <v>44957</v>
      </c>
      <c r="B11" s="227">
        <v>44957</v>
      </c>
      <c r="C11" s="227">
        <v>44957</v>
      </c>
      <c r="D11" s="228" t="s">
        <v>30</v>
      </c>
      <c r="E11" s="229" t="s">
        <v>68</v>
      </c>
      <c r="F11" s="257" t="s">
        <v>68</v>
      </c>
      <c r="G11" s="230" t="s">
        <v>45</v>
      </c>
      <c r="H11" s="231" t="s">
        <v>50</v>
      </c>
      <c r="I11" s="232"/>
      <c r="J11" s="232">
        <v>455.18</v>
      </c>
      <c r="K11" s="232"/>
      <c r="L11" s="232"/>
      <c r="M11" s="232">
        <f t="shared" si="1"/>
        <v>455.18</v>
      </c>
      <c r="N11" s="223" t="s">
        <v>264</v>
      </c>
      <c r="O11" s="223" t="s">
        <v>265</v>
      </c>
      <c r="P11" s="222"/>
    </row>
    <row r="12" spans="1:17" s="223" customFormat="1" ht="15" customHeight="1" x14ac:dyDescent="0.25">
      <c r="A12" s="227">
        <v>44985</v>
      </c>
      <c r="B12" s="227">
        <v>44985</v>
      </c>
      <c r="C12" s="227">
        <v>44985</v>
      </c>
      <c r="D12" s="228" t="s">
        <v>30</v>
      </c>
      <c r="E12" s="229" t="s">
        <v>68</v>
      </c>
      <c r="F12" s="257" t="s">
        <v>68</v>
      </c>
      <c r="G12" s="230" t="s">
        <v>45</v>
      </c>
      <c r="H12" s="231" t="s">
        <v>51</v>
      </c>
      <c r="I12" s="232"/>
      <c r="J12" s="232">
        <v>455.18</v>
      </c>
      <c r="K12" s="232"/>
      <c r="L12" s="232"/>
      <c r="M12" s="232">
        <f t="shared" si="1"/>
        <v>455.18</v>
      </c>
      <c r="N12" s="223" t="s">
        <v>264</v>
      </c>
      <c r="O12" s="223" t="s">
        <v>265</v>
      </c>
      <c r="P12" s="222"/>
    </row>
    <row r="13" spans="1:17" s="223" customFormat="1" ht="15" customHeight="1" x14ac:dyDescent="0.25">
      <c r="A13" s="227">
        <v>45016</v>
      </c>
      <c r="B13" s="227">
        <v>45016</v>
      </c>
      <c r="C13" s="227">
        <v>45016</v>
      </c>
      <c r="D13" s="228" t="s">
        <v>30</v>
      </c>
      <c r="E13" s="229" t="s">
        <v>68</v>
      </c>
      <c r="F13" s="257" t="s">
        <v>68</v>
      </c>
      <c r="G13" s="230" t="s">
        <v>45</v>
      </c>
      <c r="H13" s="231" t="s">
        <v>53</v>
      </c>
      <c r="I13" s="232"/>
      <c r="J13" s="232">
        <v>455.18</v>
      </c>
      <c r="K13" s="232"/>
      <c r="L13" s="232"/>
      <c r="M13" s="232">
        <f t="shared" si="1"/>
        <v>455.18</v>
      </c>
      <c r="N13" s="223" t="s">
        <v>264</v>
      </c>
      <c r="O13" s="223" t="s">
        <v>265</v>
      </c>
      <c r="P13" s="222"/>
    </row>
    <row r="14" spans="1:17" s="223" customFormat="1" ht="15" customHeight="1" x14ac:dyDescent="0.25">
      <c r="A14" s="227">
        <v>44926</v>
      </c>
      <c r="B14" s="227">
        <v>44926</v>
      </c>
      <c r="C14" s="227">
        <v>44957</v>
      </c>
      <c r="D14" s="228" t="s">
        <v>30</v>
      </c>
      <c r="E14" s="229" t="s">
        <v>68</v>
      </c>
      <c r="F14" s="257" t="s">
        <v>68</v>
      </c>
      <c r="G14" s="230" t="s">
        <v>45</v>
      </c>
      <c r="H14" s="231" t="s">
        <v>55</v>
      </c>
      <c r="I14" s="232"/>
      <c r="J14" s="232">
        <v>531.66999999999996</v>
      </c>
      <c r="K14" s="232"/>
      <c r="L14" s="232"/>
      <c r="M14" s="232">
        <f t="shared" si="1"/>
        <v>531.66999999999996</v>
      </c>
      <c r="N14" s="223" t="s">
        <v>264</v>
      </c>
      <c r="O14" s="223" t="s">
        <v>265</v>
      </c>
      <c r="P14" s="222"/>
    </row>
    <row r="15" spans="1:17" s="223" customFormat="1" ht="15" customHeight="1" x14ac:dyDescent="0.25">
      <c r="A15" s="227">
        <v>44926</v>
      </c>
      <c r="B15" s="227">
        <v>44926</v>
      </c>
      <c r="C15" s="227">
        <v>44957</v>
      </c>
      <c r="D15" s="228" t="s">
        <v>30</v>
      </c>
      <c r="E15" s="229" t="s">
        <v>68</v>
      </c>
      <c r="F15" s="257" t="s">
        <v>68</v>
      </c>
      <c r="G15" s="230" t="s">
        <v>45</v>
      </c>
      <c r="H15" s="231" t="s">
        <v>57</v>
      </c>
      <c r="I15" s="232"/>
      <c r="J15" s="232">
        <v>452.43</v>
      </c>
      <c r="K15" s="232"/>
      <c r="L15" s="232"/>
      <c r="M15" s="232">
        <f t="shared" si="1"/>
        <v>452.43</v>
      </c>
      <c r="N15" s="223" t="s">
        <v>264</v>
      </c>
      <c r="O15" s="223" t="s">
        <v>265</v>
      </c>
      <c r="P15" s="222"/>
    </row>
    <row r="16" spans="1:17" s="223" customFormat="1" ht="76.5" x14ac:dyDescent="0.25">
      <c r="A16" s="233">
        <v>44965</v>
      </c>
      <c r="B16" s="233">
        <v>44965</v>
      </c>
      <c r="C16" s="233">
        <v>44995</v>
      </c>
      <c r="D16" s="234" t="s">
        <v>30</v>
      </c>
      <c r="E16" s="235" t="s">
        <v>107</v>
      </c>
      <c r="F16" s="257" t="s">
        <v>107</v>
      </c>
      <c r="G16" s="236" t="s">
        <v>59</v>
      </c>
      <c r="H16" s="237" t="s">
        <v>60</v>
      </c>
      <c r="I16" s="232"/>
      <c r="J16" s="232">
        <v>831.8</v>
      </c>
      <c r="K16" s="232"/>
      <c r="L16" s="232"/>
      <c r="M16" s="232">
        <f t="shared" si="1"/>
        <v>831.8</v>
      </c>
      <c r="N16" s="223" t="s">
        <v>264</v>
      </c>
      <c r="O16" s="223" t="s">
        <v>265</v>
      </c>
      <c r="P16" s="222"/>
    </row>
    <row r="17" spans="1:17" s="223" customFormat="1" ht="61.5" x14ac:dyDescent="0.25">
      <c r="A17" s="233">
        <v>44956</v>
      </c>
      <c r="B17" s="233">
        <v>44956</v>
      </c>
      <c r="C17" s="233">
        <v>44985</v>
      </c>
      <c r="D17" s="234" t="s">
        <v>30</v>
      </c>
      <c r="E17" s="235" t="s">
        <v>107</v>
      </c>
      <c r="F17" s="257" t="s">
        <v>107</v>
      </c>
      <c r="G17" s="236" t="s">
        <v>31</v>
      </c>
      <c r="H17" s="237" t="s">
        <v>62</v>
      </c>
      <c r="I17" s="232"/>
      <c r="J17" s="232">
        <v>388</v>
      </c>
      <c r="K17" s="232"/>
      <c r="L17" s="232"/>
      <c r="M17" s="232">
        <f t="shared" si="1"/>
        <v>388</v>
      </c>
      <c r="N17" s="223" t="s">
        <v>264</v>
      </c>
      <c r="O17" s="223" t="s">
        <v>265</v>
      </c>
      <c r="P17" s="222"/>
    </row>
    <row r="18" spans="1:17" s="189" customFormat="1" ht="15" customHeight="1" x14ac:dyDescent="0.25">
      <c r="A18" s="197">
        <v>45016</v>
      </c>
      <c r="B18" s="197">
        <v>45016</v>
      </c>
      <c r="C18" s="197">
        <v>45016</v>
      </c>
      <c r="D18" s="195"/>
      <c r="E18" s="183" t="s">
        <v>34</v>
      </c>
      <c r="F18" s="184" t="s">
        <v>34</v>
      </c>
      <c r="G18" s="185" t="s">
        <v>28</v>
      </c>
      <c r="H18" s="191" t="s">
        <v>35</v>
      </c>
      <c r="I18" s="196"/>
      <c r="J18" s="196">
        <f>SUM(J8:J17)*7%</f>
        <v>338.62360000000001</v>
      </c>
      <c r="K18" s="196"/>
      <c r="L18" s="196"/>
      <c r="M18" s="196">
        <f>J18</f>
        <v>338.62360000000001</v>
      </c>
      <c r="N18" s="189" t="s">
        <v>264</v>
      </c>
      <c r="O18" s="189" t="s">
        <v>265</v>
      </c>
      <c r="P18" s="190">
        <f>SUM(M8:M18)</f>
        <v>5176.1035999999995</v>
      </c>
      <c r="Q18" s="190">
        <f>'R2_Jan-Mar23'!M16</f>
        <v>5176.1035999999995</v>
      </c>
    </row>
    <row r="19" spans="1:17" s="223" customFormat="1" ht="15" customHeight="1" x14ac:dyDescent="0.25">
      <c r="A19" s="227">
        <v>45044</v>
      </c>
      <c r="B19" s="238"/>
      <c r="C19" s="238"/>
      <c r="D19" s="228" t="s">
        <v>30</v>
      </c>
      <c r="E19" s="229" t="s">
        <v>68</v>
      </c>
      <c r="F19" s="258" t="s">
        <v>240</v>
      </c>
      <c r="G19" s="230" t="s">
        <v>45</v>
      </c>
      <c r="H19" s="231" t="s">
        <v>241</v>
      </c>
      <c r="I19" s="239"/>
      <c r="J19" s="232">
        <f>7*16.69</f>
        <v>116.83000000000001</v>
      </c>
      <c r="K19" s="239"/>
      <c r="L19" s="232"/>
      <c r="M19" s="232">
        <f t="shared" ref="M19:M36" si="2">J19</f>
        <v>116.83000000000001</v>
      </c>
      <c r="N19" s="223" t="s">
        <v>267</v>
      </c>
      <c r="O19" s="223" t="s">
        <v>268</v>
      </c>
      <c r="P19" s="222"/>
    </row>
    <row r="20" spans="1:17" s="223" customFormat="1" ht="15" customHeight="1" x14ac:dyDescent="0.25">
      <c r="A20" s="227">
        <v>45044</v>
      </c>
      <c r="B20" s="238"/>
      <c r="C20" s="238"/>
      <c r="D20" s="228" t="s">
        <v>30</v>
      </c>
      <c r="E20" s="229" t="s">
        <v>68</v>
      </c>
      <c r="F20" s="258" t="s">
        <v>242</v>
      </c>
      <c r="G20" s="230" t="s">
        <v>45</v>
      </c>
      <c r="H20" s="231" t="s">
        <v>243</v>
      </c>
      <c r="I20" s="239"/>
      <c r="J20" s="232">
        <f>1.5*16.69</f>
        <v>25.035000000000004</v>
      </c>
      <c r="K20" s="239"/>
      <c r="L20" s="232"/>
      <c r="M20" s="232">
        <f t="shared" si="2"/>
        <v>25.035000000000004</v>
      </c>
      <c r="N20" s="223" t="s">
        <v>267</v>
      </c>
      <c r="O20" s="223" t="s">
        <v>268</v>
      </c>
      <c r="P20" s="222"/>
    </row>
    <row r="21" spans="1:17" s="223" customFormat="1" ht="15" customHeight="1" x14ac:dyDescent="0.25">
      <c r="A21" s="227">
        <v>45044</v>
      </c>
      <c r="B21" s="238"/>
      <c r="C21" s="238"/>
      <c r="D21" s="228" t="s">
        <v>30</v>
      </c>
      <c r="E21" s="229" t="s">
        <v>68</v>
      </c>
      <c r="F21" s="258" t="s">
        <v>244</v>
      </c>
      <c r="G21" s="230" t="s">
        <v>45</v>
      </c>
      <c r="H21" s="231" t="s">
        <v>245</v>
      </c>
      <c r="I21" s="239"/>
      <c r="J21" s="232">
        <f>1.33*16.69</f>
        <v>22.197700000000005</v>
      </c>
      <c r="K21" s="239"/>
      <c r="L21" s="232"/>
      <c r="M21" s="232">
        <f t="shared" si="2"/>
        <v>22.197700000000005</v>
      </c>
      <c r="N21" s="223" t="s">
        <v>267</v>
      </c>
      <c r="O21" s="223" t="s">
        <v>268</v>
      </c>
      <c r="P21" s="222"/>
    </row>
    <row r="22" spans="1:17" s="223" customFormat="1" ht="15" customHeight="1" x14ac:dyDescent="0.25">
      <c r="A22" s="227">
        <v>45044</v>
      </c>
      <c r="B22" s="238"/>
      <c r="C22" s="238"/>
      <c r="D22" s="228" t="s">
        <v>30</v>
      </c>
      <c r="E22" s="229" t="s">
        <v>68</v>
      </c>
      <c r="F22" s="258" t="s">
        <v>246</v>
      </c>
      <c r="G22" s="230" t="s">
        <v>45</v>
      </c>
      <c r="H22" s="231" t="s">
        <v>247</v>
      </c>
      <c r="I22" s="239"/>
      <c r="J22" s="232">
        <f>10.5*16.69</f>
        <v>175.245</v>
      </c>
      <c r="K22" s="239"/>
      <c r="L22" s="232"/>
      <c r="M22" s="232">
        <f t="shared" si="2"/>
        <v>175.245</v>
      </c>
      <c r="N22" s="223" t="s">
        <v>267</v>
      </c>
      <c r="O22" s="223" t="s">
        <v>268</v>
      </c>
      <c r="P22" s="222"/>
    </row>
    <row r="23" spans="1:17" s="223" customFormat="1" ht="15" customHeight="1" x14ac:dyDescent="0.25">
      <c r="A23" s="227">
        <v>45044</v>
      </c>
      <c r="B23" s="227">
        <v>45044</v>
      </c>
      <c r="C23" s="227">
        <v>45044</v>
      </c>
      <c r="D23" s="228" t="s">
        <v>30</v>
      </c>
      <c r="E23" s="229" t="s">
        <v>68</v>
      </c>
      <c r="F23" s="258" t="s">
        <v>248</v>
      </c>
      <c r="G23" s="230" t="s">
        <v>45</v>
      </c>
      <c r="H23" s="231" t="s">
        <v>249</v>
      </c>
      <c r="I23" s="232"/>
      <c r="J23" s="232">
        <f>1*16.63</f>
        <v>16.63</v>
      </c>
      <c r="K23" s="232"/>
      <c r="L23" s="232"/>
      <c r="M23" s="232">
        <f t="shared" si="2"/>
        <v>16.63</v>
      </c>
      <c r="N23" s="223" t="s">
        <v>267</v>
      </c>
      <c r="O23" s="223" t="s">
        <v>268</v>
      </c>
      <c r="P23" s="222"/>
    </row>
    <row r="24" spans="1:17" s="1" customFormat="1" ht="15" customHeight="1" x14ac:dyDescent="0.25">
      <c r="A24" s="62"/>
      <c r="B24" s="62"/>
      <c r="C24" s="62"/>
      <c r="D24" s="63" t="s">
        <v>30</v>
      </c>
      <c r="E24" s="229" t="s">
        <v>68</v>
      </c>
      <c r="F24" s="258" t="s">
        <v>248</v>
      </c>
      <c r="G24" s="65" t="s">
        <v>45</v>
      </c>
      <c r="H24" s="66" t="s">
        <v>250</v>
      </c>
      <c r="I24" s="67"/>
      <c r="J24" s="67">
        <v>229.44</v>
      </c>
      <c r="K24" s="67"/>
      <c r="L24" s="67"/>
      <c r="M24" s="67">
        <f t="shared" si="2"/>
        <v>229.44</v>
      </c>
      <c r="N24" s="1" t="s">
        <v>267</v>
      </c>
      <c r="O24" s="1" t="s">
        <v>268</v>
      </c>
      <c r="P24" s="179"/>
    </row>
    <row r="25" spans="1:17" s="223" customFormat="1" ht="15" customHeight="1" x14ac:dyDescent="0.25">
      <c r="A25" s="227">
        <v>45077</v>
      </c>
      <c r="B25" s="227">
        <v>45077</v>
      </c>
      <c r="C25" s="227">
        <v>45077</v>
      </c>
      <c r="D25" s="228" t="s">
        <v>30</v>
      </c>
      <c r="E25" s="229" t="s">
        <v>68</v>
      </c>
      <c r="F25" s="258" t="s">
        <v>240</v>
      </c>
      <c r="G25" s="230" t="s">
        <v>45</v>
      </c>
      <c r="H25" s="231" t="s">
        <v>251</v>
      </c>
      <c r="I25" s="232"/>
      <c r="J25" s="232">
        <f>1*16.65</f>
        <v>16.649999999999999</v>
      </c>
      <c r="K25" s="232"/>
      <c r="L25" s="232"/>
      <c r="M25" s="232">
        <f t="shared" si="2"/>
        <v>16.649999999999999</v>
      </c>
      <c r="N25" s="223" t="s">
        <v>267</v>
      </c>
      <c r="O25" s="223" t="s">
        <v>268</v>
      </c>
      <c r="P25" s="222"/>
    </row>
    <row r="26" spans="1:17" s="223" customFormat="1" ht="15" customHeight="1" x14ac:dyDescent="0.25">
      <c r="A26" s="227">
        <v>45077</v>
      </c>
      <c r="B26" s="227"/>
      <c r="C26" s="227"/>
      <c r="D26" s="228" t="s">
        <v>30</v>
      </c>
      <c r="E26" s="229" t="s">
        <v>68</v>
      </c>
      <c r="F26" s="258" t="s">
        <v>242</v>
      </c>
      <c r="G26" s="230" t="s">
        <v>45</v>
      </c>
      <c r="H26" s="231" t="s">
        <v>252</v>
      </c>
      <c r="I26" s="232"/>
      <c r="J26" s="232">
        <f>0.56*16.69</f>
        <v>9.3464000000000009</v>
      </c>
      <c r="K26" s="232"/>
      <c r="L26" s="232"/>
      <c r="M26" s="232">
        <f t="shared" si="2"/>
        <v>9.3464000000000009</v>
      </c>
      <c r="N26" s="223" t="s">
        <v>267</v>
      </c>
      <c r="O26" s="223" t="s">
        <v>268</v>
      </c>
      <c r="P26" s="222"/>
    </row>
    <row r="27" spans="1:17" s="223" customFormat="1" ht="15" customHeight="1" x14ac:dyDescent="0.25">
      <c r="A27" s="227">
        <v>45077</v>
      </c>
      <c r="B27" s="227"/>
      <c r="C27" s="227"/>
      <c r="D27" s="228" t="s">
        <v>30</v>
      </c>
      <c r="E27" s="229" t="s">
        <v>68</v>
      </c>
      <c r="F27" s="258" t="s">
        <v>244</v>
      </c>
      <c r="G27" s="230" t="s">
        <v>45</v>
      </c>
      <c r="H27" s="231" t="s">
        <v>253</v>
      </c>
      <c r="I27" s="232"/>
      <c r="J27" s="232">
        <f>14.5*16.69</f>
        <v>242.00500000000002</v>
      </c>
      <c r="K27" s="232"/>
      <c r="L27" s="232"/>
      <c r="M27" s="232">
        <f t="shared" si="2"/>
        <v>242.00500000000002</v>
      </c>
      <c r="N27" s="223" t="s">
        <v>267</v>
      </c>
      <c r="O27" s="223" t="s">
        <v>268</v>
      </c>
      <c r="P27" s="222"/>
    </row>
    <row r="28" spans="1:17" s="223" customFormat="1" ht="15" customHeight="1" x14ac:dyDescent="0.25">
      <c r="A28" s="227">
        <v>45077</v>
      </c>
      <c r="B28" s="227"/>
      <c r="C28" s="227"/>
      <c r="D28" s="228" t="s">
        <v>30</v>
      </c>
      <c r="E28" s="229" t="s">
        <v>68</v>
      </c>
      <c r="F28" s="258" t="s">
        <v>246</v>
      </c>
      <c r="G28" s="230" t="s">
        <v>45</v>
      </c>
      <c r="H28" s="231" t="s">
        <v>254</v>
      </c>
      <c r="I28" s="232"/>
      <c r="J28" s="232">
        <f>8*16.69</f>
        <v>133.52000000000001</v>
      </c>
      <c r="K28" s="232"/>
      <c r="L28" s="232"/>
      <c r="M28" s="232">
        <f t="shared" si="2"/>
        <v>133.52000000000001</v>
      </c>
      <c r="N28" s="223" t="s">
        <v>267</v>
      </c>
      <c r="O28" s="223" t="s">
        <v>268</v>
      </c>
      <c r="P28" s="222"/>
    </row>
    <row r="29" spans="1:17" s="223" customFormat="1" ht="15" customHeight="1" x14ac:dyDescent="0.25">
      <c r="A29" s="227">
        <v>45077</v>
      </c>
      <c r="B29" s="227"/>
      <c r="C29" s="227"/>
      <c r="D29" s="228" t="s">
        <v>30</v>
      </c>
      <c r="E29" s="229" t="s">
        <v>68</v>
      </c>
      <c r="F29" s="258" t="s">
        <v>248</v>
      </c>
      <c r="G29" s="230" t="s">
        <v>45</v>
      </c>
      <c r="H29" s="231" t="s">
        <v>255</v>
      </c>
      <c r="I29" s="232"/>
      <c r="J29" s="232">
        <f>0.5*16.7</f>
        <v>8.35</v>
      </c>
      <c r="K29" s="232"/>
      <c r="L29" s="232"/>
      <c r="M29" s="232">
        <f t="shared" si="2"/>
        <v>8.35</v>
      </c>
      <c r="N29" s="223" t="s">
        <v>267</v>
      </c>
      <c r="O29" s="223" t="s">
        <v>268</v>
      </c>
      <c r="P29" s="222"/>
    </row>
    <row r="30" spans="1:17" s="1" customFormat="1" ht="15" customHeight="1" x14ac:dyDescent="0.25">
      <c r="A30" s="62"/>
      <c r="B30" s="62"/>
      <c r="C30" s="62"/>
      <c r="D30" s="63" t="s">
        <v>30</v>
      </c>
      <c r="E30" s="229" t="s">
        <v>68</v>
      </c>
      <c r="F30" s="258" t="s">
        <v>248</v>
      </c>
      <c r="G30" s="65" t="s">
        <v>45</v>
      </c>
      <c r="H30" s="66" t="s">
        <v>256</v>
      </c>
      <c r="I30" s="67"/>
      <c r="J30" s="67">
        <v>134.66999999999999</v>
      </c>
      <c r="K30" s="67"/>
      <c r="L30" s="67"/>
      <c r="M30" s="67">
        <f t="shared" si="2"/>
        <v>134.66999999999999</v>
      </c>
      <c r="N30" s="1" t="s">
        <v>267</v>
      </c>
      <c r="O30" s="1" t="s">
        <v>268</v>
      </c>
      <c r="P30" s="179"/>
    </row>
    <row r="31" spans="1:17" s="223" customFormat="1" ht="15" customHeight="1" x14ac:dyDescent="0.25">
      <c r="A31" s="227">
        <v>45107</v>
      </c>
      <c r="B31" s="227"/>
      <c r="C31" s="227"/>
      <c r="D31" s="228" t="s">
        <v>30</v>
      </c>
      <c r="E31" s="229" t="s">
        <v>68</v>
      </c>
      <c r="F31" s="258" t="s">
        <v>240</v>
      </c>
      <c r="G31" s="230" t="s">
        <v>45</v>
      </c>
      <c r="H31" s="231" t="s">
        <v>257</v>
      </c>
      <c r="I31" s="232"/>
      <c r="J31" s="232">
        <f>11.77*16.69</f>
        <v>196.44130000000001</v>
      </c>
      <c r="K31" s="232"/>
      <c r="L31" s="232"/>
      <c r="M31" s="232">
        <f t="shared" si="2"/>
        <v>196.44130000000001</v>
      </c>
      <c r="N31" s="223" t="s">
        <v>267</v>
      </c>
      <c r="O31" s="223" t="s">
        <v>268</v>
      </c>
      <c r="P31" s="222"/>
    </row>
    <row r="32" spans="1:17" s="223" customFormat="1" ht="15" customHeight="1" x14ac:dyDescent="0.25">
      <c r="A32" s="227">
        <v>45107</v>
      </c>
      <c r="B32" s="227"/>
      <c r="C32" s="227"/>
      <c r="D32" s="228" t="s">
        <v>30</v>
      </c>
      <c r="E32" s="229" t="s">
        <v>68</v>
      </c>
      <c r="F32" s="258" t="s">
        <v>242</v>
      </c>
      <c r="G32" s="230" t="s">
        <v>45</v>
      </c>
      <c r="H32" s="231" t="s">
        <v>258</v>
      </c>
      <c r="I32" s="232"/>
      <c r="J32" s="232">
        <v>66.75</v>
      </c>
      <c r="K32" s="232"/>
      <c r="L32" s="232"/>
      <c r="M32" s="232">
        <f t="shared" si="2"/>
        <v>66.75</v>
      </c>
      <c r="N32" s="223" t="s">
        <v>267</v>
      </c>
      <c r="O32" s="223" t="s">
        <v>268</v>
      </c>
      <c r="P32" s="222"/>
    </row>
    <row r="33" spans="1:17" s="223" customFormat="1" ht="15" customHeight="1" x14ac:dyDescent="0.25">
      <c r="A33" s="227">
        <v>45107</v>
      </c>
      <c r="B33" s="227"/>
      <c r="C33" s="227"/>
      <c r="D33" s="228" t="s">
        <v>30</v>
      </c>
      <c r="E33" s="229" t="s">
        <v>68</v>
      </c>
      <c r="F33" s="258" t="s">
        <v>244</v>
      </c>
      <c r="G33" s="230" t="s">
        <v>45</v>
      </c>
      <c r="H33" s="231" t="s">
        <v>259</v>
      </c>
      <c r="I33" s="232"/>
      <c r="J33" s="232">
        <f>2*16.67</f>
        <v>33.340000000000003</v>
      </c>
      <c r="K33" s="232"/>
      <c r="L33" s="232"/>
      <c r="M33" s="232">
        <f t="shared" si="2"/>
        <v>33.340000000000003</v>
      </c>
      <c r="N33" s="223" t="s">
        <v>267</v>
      </c>
      <c r="O33" s="223" t="s">
        <v>268</v>
      </c>
      <c r="P33" s="222"/>
    </row>
    <row r="34" spans="1:17" s="223" customFormat="1" ht="15" customHeight="1" x14ac:dyDescent="0.25">
      <c r="A34" s="227">
        <v>45107</v>
      </c>
      <c r="B34" s="227"/>
      <c r="C34" s="227"/>
      <c r="D34" s="228" t="s">
        <v>30</v>
      </c>
      <c r="E34" s="229" t="s">
        <v>68</v>
      </c>
      <c r="F34" s="258" t="s">
        <v>246</v>
      </c>
      <c r="G34" s="230" t="s">
        <v>45</v>
      </c>
      <c r="H34" s="231" t="s">
        <v>260</v>
      </c>
      <c r="I34" s="232"/>
      <c r="J34" s="232">
        <f>6*16.69</f>
        <v>100.14000000000001</v>
      </c>
      <c r="K34" s="232"/>
      <c r="L34" s="232"/>
      <c r="M34" s="232">
        <f t="shared" si="2"/>
        <v>100.14000000000001</v>
      </c>
      <c r="N34" s="223" t="s">
        <v>267</v>
      </c>
      <c r="O34" s="223" t="s">
        <v>268</v>
      </c>
      <c r="P34" s="222"/>
    </row>
    <row r="35" spans="1:17" s="223" customFormat="1" ht="15" customHeight="1" x14ac:dyDescent="0.25">
      <c r="A35" s="227">
        <v>45107</v>
      </c>
      <c r="B35" s="227">
        <v>45107</v>
      </c>
      <c r="C35" s="227">
        <v>45107</v>
      </c>
      <c r="D35" s="228" t="s">
        <v>30</v>
      </c>
      <c r="E35" s="229" t="s">
        <v>68</v>
      </c>
      <c r="F35" s="258" t="s">
        <v>248</v>
      </c>
      <c r="G35" s="230" t="s">
        <v>45</v>
      </c>
      <c r="H35" s="231" t="s">
        <v>261</v>
      </c>
      <c r="I35" s="232"/>
      <c r="J35" s="232">
        <f>10*16.69</f>
        <v>166.9</v>
      </c>
      <c r="K35" s="232"/>
      <c r="L35" s="232"/>
      <c r="M35" s="232">
        <f t="shared" si="2"/>
        <v>166.9</v>
      </c>
      <c r="N35" s="223" t="s">
        <v>267</v>
      </c>
      <c r="O35" s="223" t="s">
        <v>268</v>
      </c>
      <c r="P35" s="222"/>
    </row>
    <row r="36" spans="1:17" s="223" customFormat="1" ht="57.6" customHeight="1" x14ac:dyDescent="0.25">
      <c r="A36" s="233">
        <v>45058</v>
      </c>
      <c r="B36" s="233">
        <v>45058</v>
      </c>
      <c r="C36" s="233">
        <v>45103</v>
      </c>
      <c r="D36" s="234" t="s">
        <v>30</v>
      </c>
      <c r="E36" s="235" t="s">
        <v>107</v>
      </c>
      <c r="F36" s="259" t="s">
        <v>262</v>
      </c>
      <c r="G36" s="230" t="s">
        <v>45</v>
      </c>
      <c r="H36" s="237" t="s">
        <v>66</v>
      </c>
      <c r="I36" s="232"/>
      <c r="J36" s="232">
        <v>86.4</v>
      </c>
      <c r="K36" s="232"/>
      <c r="L36" s="232"/>
      <c r="M36" s="232">
        <f t="shared" si="2"/>
        <v>86.4</v>
      </c>
      <c r="N36" s="223" t="s">
        <v>267</v>
      </c>
      <c r="O36" s="223" t="s">
        <v>268</v>
      </c>
      <c r="P36" s="222"/>
    </row>
    <row r="37" spans="1:17" s="189" customFormat="1" ht="15" customHeight="1" x14ac:dyDescent="0.25">
      <c r="A37" s="181">
        <v>45107</v>
      </c>
      <c r="B37" s="181">
        <v>45107</v>
      </c>
      <c r="C37" s="181">
        <v>45107</v>
      </c>
      <c r="D37" s="195"/>
      <c r="E37" s="183" t="s">
        <v>34</v>
      </c>
      <c r="F37" s="184" t="s">
        <v>34</v>
      </c>
      <c r="G37" s="185" t="s">
        <v>28</v>
      </c>
      <c r="H37" s="191" t="s">
        <v>35</v>
      </c>
      <c r="I37" s="196"/>
      <c r="J37" s="196">
        <f>SUM(J19:J36)*7%</f>
        <v>124.59232800000002</v>
      </c>
      <c r="K37" s="196"/>
      <c r="L37" s="196"/>
      <c r="M37" s="196">
        <f>J37</f>
        <v>124.59232800000002</v>
      </c>
      <c r="N37" s="189" t="s">
        <v>267</v>
      </c>
      <c r="O37" s="189" t="s">
        <v>268</v>
      </c>
      <c r="P37" s="190">
        <f>SUM(M19:M37)</f>
        <v>1904.4827280000002</v>
      </c>
      <c r="Q37" s="190">
        <f>'R3_Apr-Jun23'!M24</f>
        <v>1904.4827280000002</v>
      </c>
    </row>
    <row r="38" spans="1:17" s="1" customFormat="1" ht="15" customHeight="1" x14ac:dyDescent="0.25">
      <c r="A38" s="62">
        <v>45138</v>
      </c>
      <c r="B38" s="62"/>
      <c r="C38" s="62">
        <v>45138</v>
      </c>
      <c r="D38" s="63" t="s">
        <v>30</v>
      </c>
      <c r="E38" s="62" t="s">
        <v>68</v>
      </c>
      <c r="F38" s="260" t="s">
        <v>69</v>
      </c>
      <c r="G38" s="65" t="s">
        <v>45</v>
      </c>
      <c r="H38" s="69" t="s">
        <v>70</v>
      </c>
      <c r="I38" s="66"/>
      <c r="J38" s="66">
        <v>429.38</v>
      </c>
      <c r="K38" s="66"/>
      <c r="L38" s="67"/>
      <c r="M38" s="67">
        <f>J38</f>
        <v>429.38</v>
      </c>
      <c r="N38" s="1" t="s">
        <v>269</v>
      </c>
      <c r="O38" s="1" t="s">
        <v>270</v>
      </c>
      <c r="P38" s="179"/>
    </row>
    <row r="39" spans="1:17" s="1" customFormat="1" ht="15" customHeight="1" x14ac:dyDescent="0.25">
      <c r="A39" s="62"/>
      <c r="B39" s="62"/>
      <c r="C39" s="62"/>
      <c r="D39" s="63"/>
      <c r="E39" s="62" t="s">
        <v>68</v>
      </c>
      <c r="F39" s="260" t="s">
        <v>69</v>
      </c>
      <c r="G39" s="65"/>
      <c r="H39" s="69" t="s">
        <v>71</v>
      </c>
      <c r="I39" s="66"/>
      <c r="J39" s="76">
        <v>142.19999999999999</v>
      </c>
      <c r="K39" s="66"/>
      <c r="L39" s="67"/>
      <c r="M39" s="67">
        <f>J39</f>
        <v>142.19999999999999</v>
      </c>
      <c r="N39" s="1" t="s">
        <v>269</v>
      </c>
      <c r="O39" s="1" t="s">
        <v>270</v>
      </c>
      <c r="P39" s="179"/>
    </row>
    <row r="40" spans="1:17" s="1" customFormat="1" ht="15" customHeight="1" x14ac:dyDescent="0.25">
      <c r="A40" s="62">
        <v>45166</v>
      </c>
      <c r="B40" s="62"/>
      <c r="C40" s="62">
        <v>45166</v>
      </c>
      <c r="D40" s="63" t="s">
        <v>30</v>
      </c>
      <c r="E40" s="62" t="s">
        <v>68</v>
      </c>
      <c r="F40" s="260" t="s">
        <v>72</v>
      </c>
      <c r="G40" s="65" t="s">
        <v>45</v>
      </c>
      <c r="H40" s="69" t="s">
        <v>73</v>
      </c>
      <c r="I40" s="66"/>
      <c r="J40" s="66">
        <v>367.55</v>
      </c>
      <c r="K40" s="66"/>
      <c r="L40" s="67"/>
      <c r="M40" s="67">
        <f t="shared" ref="M40:M47" si="3">J40</f>
        <v>367.55</v>
      </c>
      <c r="N40" s="1" t="s">
        <v>269</v>
      </c>
      <c r="O40" s="1" t="s">
        <v>270</v>
      </c>
      <c r="P40" s="179"/>
    </row>
    <row r="41" spans="1:17" s="1" customFormat="1" ht="15" customHeight="1" x14ac:dyDescent="0.25">
      <c r="A41" s="62"/>
      <c r="B41" s="62"/>
      <c r="C41" s="62"/>
      <c r="D41" s="63"/>
      <c r="E41" s="62" t="s">
        <v>68</v>
      </c>
      <c r="F41" s="260" t="s">
        <v>72</v>
      </c>
      <c r="G41" s="65"/>
      <c r="H41" s="69" t="s">
        <v>74</v>
      </c>
      <c r="I41" s="66"/>
      <c r="J41" s="66">
        <v>211.51</v>
      </c>
      <c r="K41" s="66"/>
      <c r="L41" s="67"/>
      <c r="M41" s="67">
        <f>J41</f>
        <v>211.51</v>
      </c>
      <c r="N41" s="1" t="s">
        <v>269</v>
      </c>
      <c r="O41" s="1" t="s">
        <v>270</v>
      </c>
      <c r="P41" s="179"/>
    </row>
    <row r="42" spans="1:17" s="1" customFormat="1" ht="15" customHeight="1" x14ac:dyDescent="0.25">
      <c r="A42" s="62">
        <v>45198</v>
      </c>
      <c r="B42" s="62"/>
      <c r="C42" s="62">
        <v>45198</v>
      </c>
      <c r="D42" s="63" t="s">
        <v>30</v>
      </c>
      <c r="E42" s="62" t="s">
        <v>68</v>
      </c>
      <c r="F42" s="260" t="s">
        <v>75</v>
      </c>
      <c r="G42" s="65" t="s">
        <v>45</v>
      </c>
      <c r="H42" s="69" t="s">
        <v>76</v>
      </c>
      <c r="I42" s="66"/>
      <c r="J42" s="66">
        <v>456.22</v>
      </c>
      <c r="K42" s="66"/>
      <c r="L42" s="67"/>
      <c r="M42" s="67">
        <f t="shared" si="3"/>
        <v>456.22</v>
      </c>
      <c r="N42" s="1" t="s">
        <v>269</v>
      </c>
      <c r="O42" s="1" t="s">
        <v>270</v>
      </c>
      <c r="P42" s="179"/>
    </row>
    <row r="43" spans="1:17" s="1" customFormat="1" ht="15" customHeight="1" x14ac:dyDescent="0.25">
      <c r="A43" s="62"/>
      <c r="B43" s="62"/>
      <c r="C43" s="62"/>
      <c r="D43" s="63"/>
      <c r="E43" s="62" t="s">
        <v>68</v>
      </c>
      <c r="F43" s="260" t="s">
        <v>75</v>
      </c>
      <c r="G43" s="65"/>
      <c r="H43" s="69" t="s">
        <v>77</v>
      </c>
      <c r="I43" s="66"/>
      <c r="J43" s="66">
        <v>53.67</v>
      </c>
      <c r="K43" s="66"/>
      <c r="L43" s="67"/>
      <c r="M43" s="67">
        <f>J43</f>
        <v>53.67</v>
      </c>
      <c r="N43" s="1" t="s">
        <v>269</v>
      </c>
      <c r="O43" s="1" t="s">
        <v>270</v>
      </c>
      <c r="P43" s="179"/>
    </row>
    <row r="44" spans="1:17" s="1" customFormat="1" ht="15.75" x14ac:dyDescent="0.25">
      <c r="A44" s="62">
        <v>45153</v>
      </c>
      <c r="B44" s="62">
        <v>45153</v>
      </c>
      <c r="C44" s="62">
        <v>45175</v>
      </c>
      <c r="D44" s="63" t="s">
        <v>30</v>
      </c>
      <c r="E44" s="62" t="s">
        <v>78</v>
      </c>
      <c r="F44" s="260" t="s">
        <v>79</v>
      </c>
      <c r="G44" s="65" t="s">
        <v>80</v>
      </c>
      <c r="H44" s="77" t="s">
        <v>81</v>
      </c>
      <c r="I44" s="66"/>
      <c r="J44" s="76">
        <v>57.6</v>
      </c>
      <c r="K44" s="66"/>
      <c r="L44" s="67"/>
      <c r="M44" s="67">
        <f t="shared" si="3"/>
        <v>57.6</v>
      </c>
      <c r="N44" s="1" t="s">
        <v>269</v>
      </c>
      <c r="O44" s="1" t="s">
        <v>270</v>
      </c>
      <c r="P44" s="179"/>
    </row>
    <row r="45" spans="1:17" s="1" customFormat="1" ht="30.75" x14ac:dyDescent="0.25">
      <c r="A45" s="62">
        <v>45169</v>
      </c>
      <c r="B45" s="62">
        <v>45153</v>
      </c>
      <c r="C45" s="62">
        <v>45180</v>
      </c>
      <c r="D45" s="63" t="s">
        <v>30</v>
      </c>
      <c r="E45" s="62" t="s">
        <v>78</v>
      </c>
      <c r="F45" s="260" t="s">
        <v>79</v>
      </c>
      <c r="G45" s="65" t="s">
        <v>45</v>
      </c>
      <c r="H45" s="77" t="s">
        <v>82</v>
      </c>
      <c r="I45" s="66"/>
      <c r="J45" s="66">
        <v>14.67</v>
      </c>
      <c r="K45" s="66"/>
      <c r="L45" s="67"/>
      <c r="M45" s="67">
        <f t="shared" si="3"/>
        <v>14.67</v>
      </c>
      <c r="N45" s="1" t="s">
        <v>269</v>
      </c>
      <c r="O45" s="1" t="s">
        <v>270</v>
      </c>
      <c r="P45" s="179"/>
    </row>
    <row r="46" spans="1:17" s="1" customFormat="1" ht="45.75" x14ac:dyDescent="0.25">
      <c r="A46" s="62">
        <v>45166</v>
      </c>
      <c r="B46" s="62">
        <v>45152</v>
      </c>
      <c r="C46" s="62">
        <v>45169</v>
      </c>
      <c r="D46" s="63" t="s">
        <v>30</v>
      </c>
      <c r="E46" s="62" t="s">
        <v>78</v>
      </c>
      <c r="F46" s="260" t="s">
        <v>79</v>
      </c>
      <c r="G46" s="65" t="s">
        <v>45</v>
      </c>
      <c r="H46" s="77" t="s">
        <v>83</v>
      </c>
      <c r="I46" s="66"/>
      <c r="J46" s="66">
        <v>43.94</v>
      </c>
      <c r="K46" s="66"/>
      <c r="L46" s="67"/>
      <c r="M46" s="67">
        <f t="shared" si="3"/>
        <v>43.94</v>
      </c>
      <c r="N46" s="1" t="s">
        <v>269</v>
      </c>
      <c r="O46" s="1" t="s">
        <v>270</v>
      </c>
      <c r="P46" s="179"/>
    </row>
    <row r="47" spans="1:17" s="189" customFormat="1" ht="15" customHeight="1" thickBot="1" x14ac:dyDescent="0.3">
      <c r="A47" s="193">
        <v>45199</v>
      </c>
      <c r="B47" s="193">
        <v>45199</v>
      </c>
      <c r="C47" s="193">
        <v>45199</v>
      </c>
      <c r="D47" s="194"/>
      <c r="E47" s="183" t="s">
        <v>34</v>
      </c>
      <c r="F47" s="184" t="s">
        <v>34</v>
      </c>
      <c r="G47" s="185" t="s">
        <v>28</v>
      </c>
      <c r="H47" s="191" t="s">
        <v>35</v>
      </c>
      <c r="I47" s="186"/>
      <c r="J47" s="187">
        <f>SUM(J38:J46)*7%</f>
        <v>124.37180000000001</v>
      </c>
      <c r="K47" s="186"/>
      <c r="L47" s="188"/>
      <c r="M47" s="188">
        <f t="shared" si="3"/>
        <v>124.37180000000001</v>
      </c>
      <c r="N47" s="189" t="s">
        <v>269</v>
      </c>
      <c r="O47" s="189" t="s">
        <v>270</v>
      </c>
      <c r="P47" s="190">
        <f>SUM(M38:M47)</f>
        <v>1901.1118000000001</v>
      </c>
      <c r="Q47" s="190">
        <f>'R4_Jul-Sept23'!M15</f>
        <v>1901.1118000000001</v>
      </c>
    </row>
    <row r="48" spans="1:17" s="1" customFormat="1" ht="15" customHeight="1" thickBot="1" x14ac:dyDescent="0.3">
      <c r="A48" s="62">
        <v>45230</v>
      </c>
      <c r="B48" s="62"/>
      <c r="C48" s="62">
        <v>45230</v>
      </c>
      <c r="D48" s="63" t="s">
        <v>30</v>
      </c>
      <c r="E48" s="83" t="s">
        <v>68</v>
      </c>
      <c r="F48" s="84" t="s">
        <v>69</v>
      </c>
      <c r="G48" s="65" t="s">
        <v>45</v>
      </c>
      <c r="H48" s="69" t="s">
        <v>85</v>
      </c>
      <c r="I48" s="66"/>
      <c r="J48" s="66">
        <v>435.48</v>
      </c>
      <c r="K48" s="66"/>
      <c r="L48" s="67"/>
      <c r="M48" s="67">
        <f>J48</f>
        <v>435.48</v>
      </c>
      <c r="N48" s="1" t="s">
        <v>271</v>
      </c>
      <c r="O48" s="1" t="s">
        <v>272</v>
      </c>
      <c r="P48" s="179"/>
    </row>
    <row r="49" spans="1:17" s="1" customFormat="1" ht="15" customHeight="1" thickBot="1" x14ac:dyDescent="0.3">
      <c r="A49" s="62"/>
      <c r="B49" s="62"/>
      <c r="C49" s="62"/>
      <c r="D49" s="63"/>
      <c r="E49" s="83" t="s">
        <v>68</v>
      </c>
      <c r="F49" s="84" t="s">
        <v>69</v>
      </c>
      <c r="G49" s="65" t="s">
        <v>45</v>
      </c>
      <c r="H49" s="69" t="s">
        <v>86</v>
      </c>
      <c r="I49" s="66"/>
      <c r="J49" s="66">
        <v>128.09</v>
      </c>
      <c r="K49" s="66"/>
      <c r="L49" s="67"/>
      <c r="M49" s="67">
        <f>J49</f>
        <v>128.09</v>
      </c>
      <c r="N49" s="1" t="s">
        <v>271</v>
      </c>
      <c r="O49" s="1" t="s">
        <v>272</v>
      </c>
      <c r="P49" s="179"/>
    </row>
    <row r="50" spans="1:17" s="1" customFormat="1" ht="15" customHeight="1" thickBot="1" x14ac:dyDescent="0.3">
      <c r="A50" s="62">
        <v>45260</v>
      </c>
      <c r="B50" s="62"/>
      <c r="C50" s="62">
        <v>45260</v>
      </c>
      <c r="D50" s="63" t="s">
        <v>30</v>
      </c>
      <c r="E50" s="83" t="s">
        <v>68</v>
      </c>
      <c r="F50" s="84" t="s">
        <v>72</v>
      </c>
      <c r="G50" s="65" t="s">
        <v>45</v>
      </c>
      <c r="H50" s="69" t="s">
        <v>87</v>
      </c>
      <c r="I50" s="66"/>
      <c r="J50" s="66">
        <v>563.57000000000005</v>
      </c>
      <c r="K50" s="66"/>
      <c r="L50" s="67"/>
      <c r="M50" s="67">
        <f t="shared" ref="M50:M63" si="4">J50</f>
        <v>563.57000000000005</v>
      </c>
      <c r="N50" s="1" t="s">
        <v>271</v>
      </c>
      <c r="O50" s="1" t="s">
        <v>272</v>
      </c>
      <c r="P50" s="179"/>
    </row>
    <row r="51" spans="1:17" s="1" customFormat="1" ht="15" customHeight="1" thickBot="1" x14ac:dyDescent="0.3">
      <c r="A51" s="62">
        <v>45288</v>
      </c>
      <c r="B51" s="62"/>
      <c r="C51" s="62">
        <v>45288</v>
      </c>
      <c r="D51" s="63" t="s">
        <v>30</v>
      </c>
      <c r="E51" s="83" t="s">
        <v>68</v>
      </c>
      <c r="F51" s="84" t="s">
        <v>75</v>
      </c>
      <c r="G51" s="65" t="s">
        <v>45</v>
      </c>
      <c r="H51" s="69" t="s">
        <v>88</v>
      </c>
      <c r="I51" s="66"/>
      <c r="J51" s="66">
        <v>563.55999999999995</v>
      </c>
      <c r="K51" s="66"/>
      <c r="L51" s="67"/>
      <c r="M51" s="67">
        <f t="shared" si="4"/>
        <v>563.55999999999995</v>
      </c>
      <c r="N51" s="1" t="s">
        <v>271</v>
      </c>
      <c r="O51" s="1" t="s">
        <v>272</v>
      </c>
      <c r="P51" s="179"/>
    </row>
    <row r="52" spans="1:17" s="1" customFormat="1" ht="31.5" thickBot="1" x14ac:dyDescent="0.3">
      <c r="A52" s="62">
        <v>45175</v>
      </c>
      <c r="B52" s="62">
        <v>45175</v>
      </c>
      <c r="C52" s="62">
        <v>45211</v>
      </c>
      <c r="D52" s="63" t="s">
        <v>30</v>
      </c>
      <c r="E52" s="83" t="s">
        <v>78</v>
      </c>
      <c r="F52" s="84" t="s">
        <v>79</v>
      </c>
      <c r="G52" s="65" t="s">
        <v>89</v>
      </c>
      <c r="H52" s="69" t="s">
        <v>90</v>
      </c>
      <c r="I52" s="66"/>
      <c r="J52" s="66">
        <v>215.53</v>
      </c>
      <c r="K52" s="66"/>
      <c r="L52" s="67"/>
      <c r="M52" s="67">
        <f t="shared" si="4"/>
        <v>215.53</v>
      </c>
      <c r="N52" s="1" t="s">
        <v>271</v>
      </c>
      <c r="O52" s="1" t="s">
        <v>272</v>
      </c>
      <c r="P52" s="179"/>
    </row>
    <row r="53" spans="1:17" s="1" customFormat="1" ht="46.5" thickBot="1" x14ac:dyDescent="0.3">
      <c r="A53" s="62">
        <v>45230</v>
      </c>
      <c r="B53" s="62">
        <v>45175</v>
      </c>
      <c r="C53" s="62">
        <v>45240</v>
      </c>
      <c r="D53" s="63" t="s">
        <v>30</v>
      </c>
      <c r="E53" s="83" t="s">
        <v>78</v>
      </c>
      <c r="F53" s="84" t="s">
        <v>79</v>
      </c>
      <c r="G53" s="65" t="s">
        <v>45</v>
      </c>
      <c r="H53" s="69" t="s">
        <v>91</v>
      </c>
      <c r="I53" s="66"/>
      <c r="J53" s="76">
        <v>61.4</v>
      </c>
      <c r="K53" s="66"/>
      <c r="L53" s="67"/>
      <c r="M53" s="67">
        <f t="shared" si="4"/>
        <v>61.4</v>
      </c>
      <c r="N53" s="1" t="s">
        <v>271</v>
      </c>
      <c r="O53" s="1" t="s">
        <v>272</v>
      </c>
      <c r="P53" s="179"/>
    </row>
    <row r="54" spans="1:17" s="1" customFormat="1" ht="31.5" customHeight="1" thickBot="1" x14ac:dyDescent="0.3">
      <c r="A54" s="62">
        <v>45200</v>
      </c>
      <c r="B54" s="62">
        <v>45200</v>
      </c>
      <c r="C54" s="62">
        <v>45212</v>
      </c>
      <c r="D54" s="63" t="s">
        <v>30</v>
      </c>
      <c r="E54" s="83" t="s">
        <v>78</v>
      </c>
      <c r="F54" s="84" t="s">
        <v>79</v>
      </c>
      <c r="G54" s="65" t="s">
        <v>45</v>
      </c>
      <c r="H54" s="69" t="s">
        <v>92</v>
      </c>
      <c r="I54" s="66"/>
      <c r="J54" s="66">
        <v>132.26</v>
      </c>
      <c r="K54" s="66"/>
      <c r="L54" s="67"/>
      <c r="M54" s="67">
        <f t="shared" si="4"/>
        <v>132.26</v>
      </c>
      <c r="N54" s="1" t="s">
        <v>271</v>
      </c>
      <c r="O54" s="1" t="s">
        <v>272</v>
      </c>
      <c r="P54" s="179"/>
    </row>
    <row r="55" spans="1:17" s="1" customFormat="1" ht="61.5" thickBot="1" x14ac:dyDescent="0.3">
      <c r="A55" s="62">
        <v>45230</v>
      </c>
      <c r="B55" s="62">
        <v>45200</v>
      </c>
      <c r="C55" s="62">
        <v>45240</v>
      </c>
      <c r="D55" s="63" t="s">
        <v>30</v>
      </c>
      <c r="E55" s="83" t="s">
        <v>78</v>
      </c>
      <c r="F55" s="84" t="s">
        <v>79</v>
      </c>
      <c r="G55" s="65" t="s">
        <v>45</v>
      </c>
      <c r="H55" s="69" t="s">
        <v>93</v>
      </c>
      <c r="I55" s="66"/>
      <c r="J55" s="66">
        <v>26.95</v>
      </c>
      <c r="K55" s="66"/>
      <c r="L55" s="67"/>
      <c r="M55" s="67">
        <f t="shared" si="4"/>
        <v>26.95</v>
      </c>
      <c r="N55" s="1" t="s">
        <v>271</v>
      </c>
      <c r="O55" s="1" t="s">
        <v>272</v>
      </c>
      <c r="P55" s="179"/>
    </row>
    <row r="56" spans="1:17" s="1" customFormat="1" ht="31.5" thickBot="1" x14ac:dyDescent="0.3">
      <c r="A56" s="62">
        <v>45244</v>
      </c>
      <c r="B56" s="62">
        <v>45244</v>
      </c>
      <c r="C56" s="62">
        <v>45280</v>
      </c>
      <c r="D56" s="63" t="s">
        <v>30</v>
      </c>
      <c r="E56" s="85" t="s">
        <v>94</v>
      </c>
      <c r="F56" s="84" t="s">
        <v>95</v>
      </c>
      <c r="G56" s="65" t="s">
        <v>96</v>
      </c>
      <c r="H56" s="69" t="s">
        <v>97</v>
      </c>
      <c r="I56" s="66"/>
      <c r="J56" s="76">
        <v>1679.4</v>
      </c>
      <c r="K56" s="66"/>
      <c r="L56" s="67"/>
      <c r="M56" s="67">
        <f t="shared" si="4"/>
        <v>1679.4</v>
      </c>
      <c r="N56" s="1" t="s">
        <v>271</v>
      </c>
      <c r="O56" s="1" t="s">
        <v>272</v>
      </c>
      <c r="P56" s="179"/>
    </row>
    <row r="57" spans="1:17" s="1" customFormat="1" ht="46.5" thickBot="1" x14ac:dyDescent="0.3">
      <c r="A57" s="62">
        <v>45288</v>
      </c>
      <c r="B57" s="62">
        <v>45244</v>
      </c>
      <c r="C57" s="62">
        <v>45288</v>
      </c>
      <c r="D57" s="63" t="s">
        <v>30</v>
      </c>
      <c r="E57" s="85" t="s">
        <v>78</v>
      </c>
      <c r="F57" s="84" t="s">
        <v>98</v>
      </c>
      <c r="G57" s="65" t="s">
        <v>45</v>
      </c>
      <c r="H57" s="69" t="s">
        <v>99</v>
      </c>
      <c r="I57" s="66"/>
      <c r="J57" s="66">
        <v>26.63</v>
      </c>
      <c r="K57" s="66"/>
      <c r="L57" s="67"/>
      <c r="M57" s="67">
        <f t="shared" si="4"/>
        <v>26.63</v>
      </c>
      <c r="N57" s="1" t="s">
        <v>271</v>
      </c>
      <c r="O57" s="1" t="s">
        <v>272</v>
      </c>
      <c r="P57" s="179"/>
    </row>
    <row r="58" spans="1:17" s="1" customFormat="1" ht="46.5" thickBot="1" x14ac:dyDescent="0.3">
      <c r="A58" s="62">
        <v>45264</v>
      </c>
      <c r="B58" s="62">
        <v>45264</v>
      </c>
      <c r="C58" s="62">
        <v>45282</v>
      </c>
      <c r="D58" s="63" t="s">
        <v>30</v>
      </c>
      <c r="E58" s="85" t="s">
        <v>78</v>
      </c>
      <c r="F58" s="261" t="s">
        <v>100</v>
      </c>
      <c r="G58" s="65" t="s">
        <v>45</v>
      </c>
      <c r="H58" s="69" t="s">
        <v>101</v>
      </c>
      <c r="I58" s="66"/>
      <c r="J58" s="76">
        <v>10.8</v>
      </c>
      <c r="K58" s="66"/>
      <c r="L58" s="67"/>
      <c r="M58" s="67">
        <f t="shared" si="4"/>
        <v>10.8</v>
      </c>
      <c r="N58" s="1" t="s">
        <v>271</v>
      </c>
      <c r="O58" s="1" t="s">
        <v>272</v>
      </c>
      <c r="P58" s="179"/>
    </row>
    <row r="59" spans="1:17" s="1" customFormat="1" ht="31.5" thickBot="1" x14ac:dyDescent="0.3">
      <c r="A59" s="62">
        <v>45281</v>
      </c>
      <c r="B59" s="62">
        <v>45281</v>
      </c>
      <c r="C59" s="62">
        <v>45313</v>
      </c>
      <c r="D59" s="63" t="s">
        <v>30</v>
      </c>
      <c r="E59" s="85" t="s">
        <v>102</v>
      </c>
      <c r="F59" s="84" t="s">
        <v>95</v>
      </c>
      <c r="G59" s="65" t="s">
        <v>96</v>
      </c>
      <c r="H59" s="69" t="s">
        <v>103</v>
      </c>
      <c r="I59" s="66"/>
      <c r="J59" s="66">
        <v>1733.22</v>
      </c>
      <c r="K59" s="66"/>
      <c r="L59" s="67"/>
      <c r="M59" s="67">
        <f t="shared" si="4"/>
        <v>1733.22</v>
      </c>
      <c r="N59" s="1" t="s">
        <v>271</v>
      </c>
      <c r="O59" s="1" t="s">
        <v>272</v>
      </c>
      <c r="P59" s="179"/>
    </row>
    <row r="60" spans="1:17" s="1" customFormat="1" ht="46.5" thickBot="1" x14ac:dyDescent="0.3">
      <c r="A60" s="62">
        <v>45291</v>
      </c>
      <c r="B60" s="62">
        <v>45281</v>
      </c>
      <c r="C60" s="62">
        <v>45320</v>
      </c>
      <c r="D60" s="63" t="s">
        <v>30</v>
      </c>
      <c r="E60" s="85" t="s">
        <v>78</v>
      </c>
      <c r="F60" s="84" t="s">
        <v>95</v>
      </c>
      <c r="G60" s="65" t="s">
        <v>45</v>
      </c>
      <c r="H60" s="69" t="s">
        <v>105</v>
      </c>
      <c r="I60" s="66"/>
      <c r="J60" s="66">
        <v>78.08</v>
      </c>
      <c r="K60" s="66"/>
      <c r="L60" s="67"/>
      <c r="M60" s="67">
        <f t="shared" si="4"/>
        <v>78.08</v>
      </c>
      <c r="N60" s="1" t="s">
        <v>271</v>
      </c>
      <c r="O60" s="1" t="s">
        <v>272</v>
      </c>
      <c r="P60" s="179"/>
    </row>
    <row r="61" spans="1:17" s="1" customFormat="1" ht="31.5" thickBot="1" x14ac:dyDescent="0.3">
      <c r="A61" s="62">
        <v>45281</v>
      </c>
      <c r="B61" s="62">
        <v>45281</v>
      </c>
      <c r="C61" s="62">
        <v>45296</v>
      </c>
      <c r="D61" s="63" t="s">
        <v>30</v>
      </c>
      <c r="E61" s="85" t="s">
        <v>107</v>
      </c>
      <c r="F61" s="261" t="s">
        <v>108</v>
      </c>
      <c r="G61" s="65" t="s">
        <v>109</v>
      </c>
      <c r="H61" s="69" t="s">
        <v>110</v>
      </c>
      <c r="I61" s="66"/>
      <c r="J61" s="76">
        <v>486.97</v>
      </c>
      <c r="K61" s="66"/>
      <c r="L61" s="67"/>
      <c r="M61" s="67">
        <f t="shared" si="4"/>
        <v>486.97</v>
      </c>
      <c r="N61" s="1" t="s">
        <v>271</v>
      </c>
      <c r="O61" s="1" t="s">
        <v>272</v>
      </c>
      <c r="P61" s="179"/>
    </row>
    <row r="62" spans="1:17" s="1" customFormat="1" ht="46.5" thickBot="1" x14ac:dyDescent="0.3">
      <c r="A62" s="62">
        <v>45277</v>
      </c>
      <c r="B62" s="62">
        <v>45277</v>
      </c>
      <c r="C62" s="62">
        <v>45295</v>
      </c>
      <c r="D62" s="63" t="s">
        <v>30</v>
      </c>
      <c r="E62" s="85" t="s">
        <v>78</v>
      </c>
      <c r="F62" s="261" t="s">
        <v>100</v>
      </c>
      <c r="G62" s="65" t="s">
        <v>45</v>
      </c>
      <c r="H62" s="69" t="s">
        <v>112</v>
      </c>
      <c r="I62" s="66"/>
      <c r="J62" s="66">
        <v>45.38</v>
      </c>
      <c r="K62" s="66"/>
      <c r="L62" s="67"/>
      <c r="M62" s="67">
        <f t="shared" si="4"/>
        <v>45.38</v>
      </c>
      <c r="N62" s="1" t="s">
        <v>271</v>
      </c>
      <c r="O62" s="1" t="s">
        <v>272</v>
      </c>
      <c r="P62" s="179"/>
    </row>
    <row r="63" spans="1:17" s="1" customFormat="1" ht="46.5" thickBot="1" x14ac:dyDescent="0.3">
      <c r="A63" s="62">
        <v>45277</v>
      </c>
      <c r="B63" s="62">
        <v>45277</v>
      </c>
      <c r="C63" s="62">
        <v>45321</v>
      </c>
      <c r="D63" s="63" t="s">
        <v>30</v>
      </c>
      <c r="E63" s="85" t="s">
        <v>78</v>
      </c>
      <c r="F63" s="261" t="s">
        <v>100</v>
      </c>
      <c r="G63" s="65" t="s">
        <v>45</v>
      </c>
      <c r="H63" s="69" t="s">
        <v>114</v>
      </c>
      <c r="I63" s="66"/>
      <c r="J63" s="66">
        <v>8.59</v>
      </c>
      <c r="K63" s="66"/>
      <c r="L63" s="67"/>
      <c r="M63" s="67">
        <f t="shared" si="4"/>
        <v>8.59</v>
      </c>
      <c r="N63" s="1" t="s">
        <v>271</v>
      </c>
      <c r="O63" s="1" t="s">
        <v>272</v>
      </c>
      <c r="P63" s="179"/>
    </row>
    <row r="64" spans="1:17" s="189" customFormat="1" ht="15" customHeight="1" x14ac:dyDescent="0.25">
      <c r="A64" s="181">
        <v>45291</v>
      </c>
      <c r="B64" s="181">
        <v>45291</v>
      </c>
      <c r="C64" s="181">
        <v>45291</v>
      </c>
      <c r="D64" s="182"/>
      <c r="E64" s="183" t="s">
        <v>34</v>
      </c>
      <c r="F64" s="184" t="s">
        <v>34</v>
      </c>
      <c r="G64" s="185" t="s">
        <v>28</v>
      </c>
      <c r="H64" s="191" t="s">
        <v>35</v>
      </c>
      <c r="I64" s="186"/>
      <c r="J64" s="187">
        <f>SUM(J48:J63)*7%</f>
        <v>433.71370000000007</v>
      </c>
      <c r="K64" s="186"/>
      <c r="L64" s="188"/>
      <c r="M64" s="188">
        <f>J64</f>
        <v>433.71370000000007</v>
      </c>
      <c r="N64" s="189" t="s">
        <v>271</v>
      </c>
      <c r="O64" s="189" t="s">
        <v>272</v>
      </c>
      <c r="P64" s="190">
        <f>SUM(M48:M64)</f>
        <v>6629.623700000001</v>
      </c>
      <c r="Q64" s="190">
        <f>'R5_Oct-Dec23'!M22</f>
        <v>6629.623700000001</v>
      </c>
    </row>
    <row r="65" spans="1:16" s="1" customFormat="1" ht="45.75" x14ac:dyDescent="0.25">
      <c r="A65" s="62">
        <v>45305</v>
      </c>
      <c r="B65" s="62">
        <v>45305</v>
      </c>
      <c r="C65" s="62">
        <v>45321</v>
      </c>
      <c r="D65" s="88" t="s">
        <v>30</v>
      </c>
      <c r="E65" s="89" t="s">
        <v>78</v>
      </c>
      <c r="F65" s="262" t="s">
        <v>100</v>
      </c>
      <c r="G65" s="90" t="s">
        <v>45</v>
      </c>
      <c r="H65" s="69" t="s">
        <v>117</v>
      </c>
      <c r="I65" s="66"/>
      <c r="J65" s="66">
        <v>34.44</v>
      </c>
      <c r="K65" s="66"/>
      <c r="L65" s="67"/>
      <c r="M65" s="67">
        <f t="shared" ref="M65" si="5">J65</f>
        <v>34.44</v>
      </c>
      <c r="N65" s="1" t="s">
        <v>273</v>
      </c>
      <c r="O65" s="1" t="s">
        <v>274</v>
      </c>
      <c r="P65" s="179"/>
    </row>
    <row r="66" spans="1:16" s="1" customFormat="1" ht="50.25" customHeight="1" x14ac:dyDescent="0.25">
      <c r="A66" s="91">
        <v>45321</v>
      </c>
      <c r="B66" s="91">
        <v>45321</v>
      </c>
      <c r="C66" s="91">
        <v>45373</v>
      </c>
      <c r="D66" s="88" t="s">
        <v>30</v>
      </c>
      <c r="E66" s="92" t="s">
        <v>78</v>
      </c>
      <c r="F66" s="263" t="s">
        <v>100</v>
      </c>
      <c r="G66" s="93" t="s">
        <v>31</v>
      </c>
      <c r="H66" s="69" t="s">
        <v>118</v>
      </c>
      <c r="I66" s="94"/>
      <c r="J66" s="76">
        <v>211.5</v>
      </c>
      <c r="K66" s="94"/>
      <c r="L66" s="67"/>
      <c r="M66" s="67">
        <f>J66</f>
        <v>211.5</v>
      </c>
      <c r="N66" s="1" t="s">
        <v>273</v>
      </c>
      <c r="O66" s="1" t="s">
        <v>274</v>
      </c>
      <c r="P66" s="179"/>
    </row>
    <row r="67" spans="1:16" s="1" customFormat="1" ht="60.75" x14ac:dyDescent="0.25">
      <c r="A67" s="91">
        <v>45330</v>
      </c>
      <c r="B67" s="91">
        <v>45330</v>
      </c>
      <c r="C67" s="91">
        <v>45344</v>
      </c>
      <c r="D67" s="88" t="s">
        <v>30</v>
      </c>
      <c r="E67" s="89" t="s">
        <v>107</v>
      </c>
      <c r="F67" s="262" t="s">
        <v>119</v>
      </c>
      <c r="G67" s="95" t="s">
        <v>120</v>
      </c>
      <c r="H67" s="69" t="s">
        <v>121</v>
      </c>
      <c r="I67" s="94"/>
      <c r="J67" s="76">
        <v>3510</v>
      </c>
      <c r="K67" s="94"/>
      <c r="L67" s="67"/>
      <c r="M67" s="67">
        <f t="shared" ref="M67:M89" si="6">J67</f>
        <v>3510</v>
      </c>
      <c r="N67" s="1" t="s">
        <v>273</v>
      </c>
      <c r="O67" s="1" t="s">
        <v>274</v>
      </c>
      <c r="P67" s="179"/>
    </row>
    <row r="68" spans="1:16" s="1" customFormat="1" ht="76.5" thickBot="1" x14ac:dyDescent="0.3">
      <c r="A68" s="91">
        <v>45331</v>
      </c>
      <c r="B68" s="91">
        <v>45331</v>
      </c>
      <c r="C68" s="91">
        <v>45376</v>
      </c>
      <c r="D68" s="88" t="s">
        <v>30</v>
      </c>
      <c r="E68" s="96" t="s">
        <v>78</v>
      </c>
      <c r="F68" s="264" t="s">
        <v>100</v>
      </c>
      <c r="G68" s="93" t="s">
        <v>31</v>
      </c>
      <c r="H68" s="69" t="s">
        <v>122</v>
      </c>
      <c r="I68" s="94"/>
      <c r="J68" s="76">
        <v>1191.5</v>
      </c>
      <c r="K68" s="94"/>
      <c r="L68" s="67"/>
      <c r="M68" s="67">
        <f t="shared" si="6"/>
        <v>1191.5</v>
      </c>
      <c r="N68" s="1" t="s">
        <v>273</v>
      </c>
      <c r="O68" s="1" t="s">
        <v>274</v>
      </c>
      <c r="P68" s="179"/>
    </row>
    <row r="69" spans="1:16" s="1" customFormat="1" ht="75.75" x14ac:dyDescent="0.25">
      <c r="A69" s="91">
        <v>45338</v>
      </c>
      <c r="B69" s="91">
        <v>45338</v>
      </c>
      <c r="C69" s="91">
        <v>45376</v>
      </c>
      <c r="D69" s="88" t="s">
        <v>30</v>
      </c>
      <c r="E69" s="97" t="s">
        <v>78</v>
      </c>
      <c r="F69" s="265" t="s">
        <v>100</v>
      </c>
      <c r="G69" s="93" t="s">
        <v>31</v>
      </c>
      <c r="H69" s="69" t="s">
        <v>123</v>
      </c>
      <c r="I69" s="94"/>
      <c r="J69" s="76">
        <v>1452.6</v>
      </c>
      <c r="K69" s="94"/>
      <c r="L69" s="67"/>
      <c r="M69" s="67">
        <f t="shared" si="6"/>
        <v>1452.6</v>
      </c>
      <c r="N69" s="1" t="s">
        <v>273</v>
      </c>
      <c r="O69" s="1" t="s">
        <v>274</v>
      </c>
      <c r="P69" s="179"/>
    </row>
    <row r="70" spans="1:16" s="1" customFormat="1" ht="45.75" x14ac:dyDescent="0.25">
      <c r="A70" s="62">
        <v>45317</v>
      </c>
      <c r="B70" s="62">
        <v>45317</v>
      </c>
      <c r="C70" s="62">
        <v>45342</v>
      </c>
      <c r="D70" s="88" t="s">
        <v>30</v>
      </c>
      <c r="E70" s="89" t="s">
        <v>107</v>
      </c>
      <c r="F70" s="262" t="s">
        <v>119</v>
      </c>
      <c r="G70" s="90" t="s">
        <v>45</v>
      </c>
      <c r="H70" s="69" t="s">
        <v>124</v>
      </c>
      <c r="I70" s="66"/>
      <c r="J70" s="66">
        <v>43.18</v>
      </c>
      <c r="K70" s="94"/>
      <c r="L70" s="67"/>
      <c r="M70" s="67">
        <f t="shared" si="6"/>
        <v>43.18</v>
      </c>
      <c r="N70" s="1" t="s">
        <v>273</v>
      </c>
      <c r="O70" s="1" t="s">
        <v>274</v>
      </c>
      <c r="P70" s="179"/>
    </row>
    <row r="71" spans="1:16" s="1" customFormat="1" ht="45.75" x14ac:dyDescent="0.25">
      <c r="A71" s="62">
        <v>45351</v>
      </c>
      <c r="B71" s="62">
        <v>45351</v>
      </c>
      <c r="C71" s="62">
        <v>45376</v>
      </c>
      <c r="D71" s="88" t="s">
        <v>30</v>
      </c>
      <c r="E71" s="89" t="s">
        <v>107</v>
      </c>
      <c r="F71" s="262" t="s">
        <v>125</v>
      </c>
      <c r="G71" s="90" t="s">
        <v>96</v>
      </c>
      <c r="H71" s="69" t="s">
        <v>126</v>
      </c>
      <c r="I71" s="94"/>
      <c r="J71" s="76">
        <v>902.72</v>
      </c>
      <c r="K71" s="94"/>
      <c r="L71" s="67"/>
      <c r="M71" s="67">
        <f t="shared" si="6"/>
        <v>902.72</v>
      </c>
      <c r="N71" s="1" t="s">
        <v>273</v>
      </c>
      <c r="O71" s="1" t="s">
        <v>274</v>
      </c>
      <c r="P71" s="179"/>
    </row>
    <row r="72" spans="1:16" s="1" customFormat="1" ht="31.5" customHeight="1" x14ac:dyDescent="0.25">
      <c r="A72" s="62">
        <v>45382</v>
      </c>
      <c r="B72" s="62">
        <v>45382</v>
      </c>
      <c r="C72" s="62">
        <v>45392</v>
      </c>
      <c r="D72" s="88" t="s">
        <v>30</v>
      </c>
      <c r="E72" s="89" t="s">
        <v>127</v>
      </c>
      <c r="F72" s="262" t="s">
        <v>128</v>
      </c>
      <c r="G72" s="90" t="s">
        <v>45</v>
      </c>
      <c r="H72" s="69" t="s">
        <v>129</v>
      </c>
      <c r="I72" s="94"/>
      <c r="J72" s="76">
        <v>84.61</v>
      </c>
      <c r="K72" s="94"/>
      <c r="L72" s="67"/>
      <c r="M72" s="67">
        <f t="shared" si="6"/>
        <v>84.61</v>
      </c>
      <c r="N72" s="1" t="s">
        <v>273</v>
      </c>
      <c r="O72" s="1" t="s">
        <v>274</v>
      </c>
      <c r="P72" s="179"/>
    </row>
    <row r="73" spans="1:16" s="1" customFormat="1" ht="30" customHeight="1" x14ac:dyDescent="0.25">
      <c r="A73" s="91">
        <v>45357</v>
      </c>
      <c r="B73" s="91">
        <v>45357</v>
      </c>
      <c r="C73" s="91">
        <v>45390</v>
      </c>
      <c r="D73" s="88" t="s">
        <v>30</v>
      </c>
      <c r="E73" s="98" t="s">
        <v>78</v>
      </c>
      <c r="F73" s="266" t="s">
        <v>130</v>
      </c>
      <c r="G73" s="93" t="s">
        <v>31</v>
      </c>
      <c r="H73" s="69" t="s">
        <v>131</v>
      </c>
      <c r="I73" s="94"/>
      <c r="J73" s="76">
        <v>53.1</v>
      </c>
      <c r="K73" s="94"/>
      <c r="L73" s="67"/>
      <c r="M73" s="67">
        <f t="shared" si="6"/>
        <v>53.1</v>
      </c>
      <c r="N73" s="1" t="s">
        <v>273</v>
      </c>
      <c r="O73" s="1" t="s">
        <v>274</v>
      </c>
      <c r="P73" s="179"/>
    </row>
    <row r="74" spans="1:16" s="1" customFormat="1" ht="45.75" x14ac:dyDescent="0.25">
      <c r="A74" s="62">
        <v>45354</v>
      </c>
      <c r="B74" s="62">
        <v>45354</v>
      </c>
      <c r="C74" s="62">
        <v>45359</v>
      </c>
      <c r="D74" s="88" t="s">
        <v>30</v>
      </c>
      <c r="E74" s="89" t="s">
        <v>78</v>
      </c>
      <c r="F74" s="262" t="s">
        <v>100</v>
      </c>
      <c r="G74" s="90" t="s">
        <v>45</v>
      </c>
      <c r="H74" s="69" t="s">
        <v>132</v>
      </c>
      <c r="I74" s="66"/>
      <c r="J74" s="76">
        <v>31.31</v>
      </c>
      <c r="K74" s="94"/>
      <c r="L74" s="67"/>
      <c r="M74" s="67">
        <f t="shared" si="6"/>
        <v>31.31</v>
      </c>
      <c r="N74" s="1" t="s">
        <v>273</v>
      </c>
      <c r="O74" s="1" t="s">
        <v>274</v>
      </c>
      <c r="P74" s="179"/>
    </row>
    <row r="75" spans="1:16" s="1" customFormat="1" ht="60.75" x14ac:dyDescent="0.25">
      <c r="A75" s="91">
        <v>45364</v>
      </c>
      <c r="B75" s="91">
        <v>45364</v>
      </c>
      <c r="C75" s="91">
        <v>45379</v>
      </c>
      <c r="D75" s="88" t="s">
        <v>30</v>
      </c>
      <c r="E75" s="99" t="s">
        <v>107</v>
      </c>
      <c r="F75" s="267" t="s">
        <v>133</v>
      </c>
      <c r="G75" s="95" t="s">
        <v>134</v>
      </c>
      <c r="H75" s="69" t="s">
        <v>135</v>
      </c>
      <c r="I75" s="94"/>
      <c r="J75" s="76">
        <v>2291.54</v>
      </c>
      <c r="K75" s="94"/>
      <c r="L75" s="67"/>
      <c r="M75" s="67">
        <f t="shared" si="6"/>
        <v>2291.54</v>
      </c>
      <c r="N75" s="1" t="s">
        <v>273</v>
      </c>
      <c r="O75" s="1" t="s">
        <v>274</v>
      </c>
      <c r="P75" s="179"/>
    </row>
    <row r="76" spans="1:16" s="1" customFormat="1" ht="45.75" customHeight="1" x14ac:dyDescent="0.25">
      <c r="A76" s="91">
        <v>45365</v>
      </c>
      <c r="B76" s="91">
        <v>45365</v>
      </c>
      <c r="C76" s="91">
        <v>45392</v>
      </c>
      <c r="D76" s="88" t="s">
        <v>30</v>
      </c>
      <c r="E76" s="98" t="s">
        <v>78</v>
      </c>
      <c r="F76" s="262" t="s">
        <v>136</v>
      </c>
      <c r="G76" s="90" t="s">
        <v>45</v>
      </c>
      <c r="H76" s="69" t="s">
        <v>137</v>
      </c>
      <c r="I76" s="94"/>
      <c r="J76" s="76">
        <v>193.68</v>
      </c>
      <c r="K76" s="94"/>
      <c r="L76" s="67"/>
      <c r="M76" s="67">
        <f t="shared" si="6"/>
        <v>193.68</v>
      </c>
      <c r="N76" s="1" t="s">
        <v>273</v>
      </c>
      <c r="O76" s="1" t="s">
        <v>274</v>
      </c>
      <c r="P76" s="179"/>
    </row>
    <row r="77" spans="1:16" s="1" customFormat="1" ht="47.25" customHeight="1" x14ac:dyDescent="0.25">
      <c r="A77" s="91">
        <v>45365</v>
      </c>
      <c r="B77" s="91">
        <v>45365</v>
      </c>
      <c r="C77" s="91">
        <v>45376</v>
      </c>
      <c r="D77" s="88" t="s">
        <v>30</v>
      </c>
      <c r="E77" s="98" t="s">
        <v>78</v>
      </c>
      <c r="F77" s="262" t="s">
        <v>138</v>
      </c>
      <c r="G77" s="90" t="s">
        <v>45</v>
      </c>
      <c r="H77" s="69" t="s">
        <v>139</v>
      </c>
      <c r="I77" s="94"/>
      <c r="J77" s="76">
        <v>124.2</v>
      </c>
      <c r="K77" s="94"/>
      <c r="L77" s="67"/>
      <c r="M77" s="67">
        <f t="shared" si="6"/>
        <v>124.2</v>
      </c>
      <c r="N77" s="1" t="s">
        <v>273</v>
      </c>
      <c r="O77" s="1" t="s">
        <v>274</v>
      </c>
      <c r="P77" s="179"/>
    </row>
    <row r="78" spans="1:16" s="1" customFormat="1" ht="45.75" x14ac:dyDescent="0.25">
      <c r="A78" s="62">
        <v>45385</v>
      </c>
      <c r="B78" s="62">
        <v>45385</v>
      </c>
      <c r="C78" s="62">
        <v>45443</v>
      </c>
      <c r="D78" s="88" t="s">
        <v>30</v>
      </c>
      <c r="E78" s="98" t="s">
        <v>78</v>
      </c>
      <c r="F78" s="262" t="s">
        <v>79</v>
      </c>
      <c r="G78" s="90" t="s">
        <v>89</v>
      </c>
      <c r="H78" s="69" t="s">
        <v>140</v>
      </c>
      <c r="I78" s="66"/>
      <c r="J78" s="76">
        <v>112.81</v>
      </c>
      <c r="K78" s="94"/>
      <c r="L78" s="67"/>
      <c r="M78" s="67">
        <f t="shared" si="6"/>
        <v>112.81</v>
      </c>
      <c r="N78" s="1" t="s">
        <v>273</v>
      </c>
      <c r="O78" s="1" t="s">
        <v>274</v>
      </c>
      <c r="P78" s="179"/>
    </row>
    <row r="79" spans="1:16" s="1" customFormat="1" ht="46.5" thickBot="1" x14ac:dyDescent="0.3">
      <c r="A79" s="62">
        <v>45396</v>
      </c>
      <c r="B79" s="62">
        <v>45396</v>
      </c>
      <c r="C79" s="62">
        <v>45406</v>
      </c>
      <c r="D79" s="88" t="s">
        <v>30</v>
      </c>
      <c r="E79" s="89" t="s">
        <v>78</v>
      </c>
      <c r="F79" s="262" t="s">
        <v>100</v>
      </c>
      <c r="G79" s="90" t="s">
        <v>45</v>
      </c>
      <c r="H79" s="69" t="s">
        <v>141</v>
      </c>
      <c r="I79" s="94"/>
      <c r="J79" s="76">
        <v>25.5</v>
      </c>
      <c r="K79" s="94"/>
      <c r="L79" s="67"/>
      <c r="M79" s="67">
        <f t="shared" si="6"/>
        <v>25.5</v>
      </c>
      <c r="N79" s="1" t="s">
        <v>273</v>
      </c>
      <c r="O79" s="1" t="s">
        <v>274</v>
      </c>
      <c r="P79" s="179"/>
    </row>
    <row r="80" spans="1:16" s="1" customFormat="1" ht="31.5" thickBot="1" x14ac:dyDescent="0.3">
      <c r="A80" s="62">
        <v>45412</v>
      </c>
      <c r="B80" s="62">
        <v>45412</v>
      </c>
      <c r="C80" s="62">
        <v>45477</v>
      </c>
      <c r="D80" s="88" t="s">
        <v>30</v>
      </c>
      <c r="E80" s="83" t="s">
        <v>78</v>
      </c>
      <c r="F80" s="84" t="s">
        <v>79</v>
      </c>
      <c r="G80" s="90" t="s">
        <v>89</v>
      </c>
      <c r="H80" s="69" t="s">
        <v>142</v>
      </c>
      <c r="I80" s="94"/>
      <c r="J80" s="76">
        <v>109.6</v>
      </c>
      <c r="K80" s="94"/>
      <c r="L80" s="67"/>
      <c r="M80" s="67">
        <f t="shared" si="6"/>
        <v>109.6</v>
      </c>
      <c r="N80" s="1" t="s">
        <v>273</v>
      </c>
      <c r="O80" s="1" t="s">
        <v>274</v>
      </c>
      <c r="P80" s="179"/>
    </row>
    <row r="81" spans="1:17" s="1" customFormat="1" ht="32.25" customHeight="1" thickBot="1" x14ac:dyDescent="0.3">
      <c r="A81" s="62">
        <v>45473</v>
      </c>
      <c r="B81" s="62">
        <v>45473</v>
      </c>
      <c r="C81" s="62">
        <v>45483</v>
      </c>
      <c r="D81" s="88" t="s">
        <v>30</v>
      </c>
      <c r="E81" s="83" t="s">
        <v>78</v>
      </c>
      <c r="F81" s="84" t="s">
        <v>79</v>
      </c>
      <c r="G81" s="90" t="s">
        <v>45</v>
      </c>
      <c r="H81" s="69" t="s">
        <v>144</v>
      </c>
      <c r="I81" s="94"/>
      <c r="J81" s="76">
        <v>20.11</v>
      </c>
      <c r="K81" s="94"/>
      <c r="L81" s="67"/>
      <c r="M81" s="67">
        <f t="shared" si="6"/>
        <v>20.11</v>
      </c>
      <c r="N81" s="1" t="s">
        <v>273</v>
      </c>
      <c r="O81" s="1" t="s">
        <v>274</v>
      </c>
      <c r="P81" s="179"/>
    </row>
    <row r="82" spans="1:17" s="1" customFormat="1" ht="48.75" customHeight="1" thickBot="1" x14ac:dyDescent="0.3">
      <c r="A82" s="91">
        <v>45437</v>
      </c>
      <c r="B82" s="91">
        <v>45437</v>
      </c>
      <c r="C82" s="91">
        <v>45470</v>
      </c>
      <c r="D82" s="88" t="s">
        <v>30</v>
      </c>
      <c r="E82" s="85" t="s">
        <v>78</v>
      </c>
      <c r="F82" s="261" t="s">
        <v>100</v>
      </c>
      <c r="G82" s="90" t="s">
        <v>45</v>
      </c>
      <c r="H82" s="69" t="s">
        <v>146</v>
      </c>
      <c r="I82" s="94"/>
      <c r="J82" s="76">
        <v>86.4</v>
      </c>
      <c r="K82" s="94"/>
      <c r="L82" s="67"/>
      <c r="M82" s="67">
        <f t="shared" si="6"/>
        <v>86.4</v>
      </c>
      <c r="N82" s="1" t="s">
        <v>273</v>
      </c>
      <c r="O82" s="1" t="s">
        <v>274</v>
      </c>
      <c r="P82" s="179"/>
    </row>
    <row r="83" spans="1:17" s="1" customFormat="1" ht="76.5" thickBot="1" x14ac:dyDescent="0.3">
      <c r="A83" s="91">
        <v>45437</v>
      </c>
      <c r="B83" s="91">
        <v>45437</v>
      </c>
      <c r="C83" s="91">
        <v>45462</v>
      </c>
      <c r="D83" s="88" t="s">
        <v>30</v>
      </c>
      <c r="E83" s="85" t="s">
        <v>78</v>
      </c>
      <c r="F83" s="261" t="s">
        <v>100</v>
      </c>
      <c r="G83" s="90" t="s">
        <v>45</v>
      </c>
      <c r="H83" s="69" t="s">
        <v>148</v>
      </c>
      <c r="I83" s="94"/>
      <c r="J83" s="76">
        <v>86.4</v>
      </c>
      <c r="K83" s="94"/>
      <c r="L83" s="67"/>
      <c r="M83" s="67">
        <f t="shared" si="6"/>
        <v>86.4</v>
      </c>
      <c r="N83" s="1" t="s">
        <v>273</v>
      </c>
      <c r="O83" s="1" t="s">
        <v>274</v>
      </c>
      <c r="P83" s="179"/>
    </row>
    <row r="84" spans="1:17" s="1" customFormat="1" ht="75.75" x14ac:dyDescent="0.25">
      <c r="A84" s="91">
        <v>45437</v>
      </c>
      <c r="B84" s="91">
        <v>45437</v>
      </c>
      <c r="C84" s="91">
        <v>45483</v>
      </c>
      <c r="D84" s="88" t="s">
        <v>30</v>
      </c>
      <c r="E84" s="97" t="s">
        <v>78</v>
      </c>
      <c r="F84" s="265" t="s">
        <v>100</v>
      </c>
      <c r="G84" s="90" t="s">
        <v>45</v>
      </c>
      <c r="H84" s="69" t="s">
        <v>150</v>
      </c>
      <c r="I84" s="94"/>
      <c r="J84" s="76">
        <v>182.88</v>
      </c>
      <c r="K84" s="94"/>
      <c r="L84" s="67"/>
      <c r="M84" s="67">
        <f t="shared" si="6"/>
        <v>182.88</v>
      </c>
      <c r="N84" s="1" t="s">
        <v>273</v>
      </c>
      <c r="O84" s="1" t="s">
        <v>274</v>
      </c>
      <c r="P84" s="179"/>
    </row>
    <row r="85" spans="1:17" s="1" customFormat="1" ht="45.75" x14ac:dyDescent="0.25">
      <c r="A85" s="91">
        <v>45443</v>
      </c>
      <c r="B85" s="91">
        <v>45443</v>
      </c>
      <c r="C85" s="91">
        <v>45488</v>
      </c>
      <c r="D85" s="88" t="s">
        <v>30</v>
      </c>
      <c r="E85" s="89" t="s">
        <v>107</v>
      </c>
      <c r="F85" s="262" t="s">
        <v>133</v>
      </c>
      <c r="G85" s="95" t="s">
        <v>152</v>
      </c>
      <c r="H85" s="69" t="s">
        <v>153</v>
      </c>
      <c r="I85" s="94"/>
      <c r="J85" s="76">
        <v>384.3</v>
      </c>
      <c r="K85" s="94"/>
      <c r="L85" s="67"/>
      <c r="M85" s="67">
        <f t="shared" si="6"/>
        <v>384.3</v>
      </c>
      <c r="N85" s="1" t="s">
        <v>273</v>
      </c>
      <c r="O85" s="1" t="s">
        <v>274</v>
      </c>
      <c r="P85" s="179"/>
    </row>
    <row r="86" spans="1:17" s="1" customFormat="1" ht="45.75" x14ac:dyDescent="0.25">
      <c r="A86" s="91">
        <v>45454</v>
      </c>
      <c r="B86" s="91">
        <v>45454</v>
      </c>
      <c r="C86" s="91">
        <v>45483</v>
      </c>
      <c r="D86" s="88" t="s">
        <v>30</v>
      </c>
      <c r="E86" s="89" t="s">
        <v>127</v>
      </c>
      <c r="F86" s="262" t="s">
        <v>155</v>
      </c>
      <c r="G86" s="95" t="s">
        <v>156</v>
      </c>
      <c r="H86" s="69" t="s">
        <v>157</v>
      </c>
      <c r="I86" s="94"/>
      <c r="J86" s="76">
        <v>900</v>
      </c>
      <c r="K86" s="94"/>
      <c r="L86" s="67"/>
      <c r="M86" s="67">
        <f t="shared" si="6"/>
        <v>900</v>
      </c>
      <c r="N86" s="1" t="s">
        <v>273</v>
      </c>
      <c r="O86" s="1" t="s">
        <v>274</v>
      </c>
      <c r="P86" s="179"/>
    </row>
    <row r="87" spans="1:17" s="1" customFormat="1" ht="45.75" x14ac:dyDescent="0.25">
      <c r="A87" s="91">
        <v>45454</v>
      </c>
      <c r="B87" s="91">
        <v>45454</v>
      </c>
      <c r="C87" s="91">
        <v>45483</v>
      </c>
      <c r="D87" s="88" t="s">
        <v>30</v>
      </c>
      <c r="E87" s="89" t="s">
        <v>159</v>
      </c>
      <c r="F87" s="262" t="s">
        <v>108</v>
      </c>
      <c r="G87" s="95" t="s">
        <v>156</v>
      </c>
      <c r="H87" s="69" t="s">
        <v>160</v>
      </c>
      <c r="I87" s="94"/>
      <c r="J87" s="76">
        <v>64.650000000000006</v>
      </c>
      <c r="K87" s="94"/>
      <c r="L87" s="67"/>
      <c r="M87" s="67">
        <f t="shared" si="6"/>
        <v>64.650000000000006</v>
      </c>
      <c r="N87" s="1" t="s">
        <v>273</v>
      </c>
      <c r="O87" s="1" t="s">
        <v>274</v>
      </c>
      <c r="P87" s="179"/>
    </row>
    <row r="88" spans="1:17" s="1" customFormat="1" ht="60.75" x14ac:dyDescent="0.25">
      <c r="A88" s="62">
        <v>45440</v>
      </c>
      <c r="B88" s="62">
        <v>45440</v>
      </c>
      <c r="C88" s="62">
        <v>45468</v>
      </c>
      <c r="D88" s="88" t="s">
        <v>30</v>
      </c>
      <c r="E88" s="89" t="s">
        <v>107</v>
      </c>
      <c r="F88" s="262" t="s">
        <v>133</v>
      </c>
      <c r="G88" s="90" t="s">
        <v>45</v>
      </c>
      <c r="H88" s="69" t="s">
        <v>162</v>
      </c>
      <c r="I88" s="94"/>
      <c r="J88" s="76">
        <v>253.44</v>
      </c>
      <c r="K88" s="94"/>
      <c r="L88" s="67"/>
      <c r="M88" s="67">
        <f t="shared" si="6"/>
        <v>253.44</v>
      </c>
      <c r="N88" s="1" t="s">
        <v>273</v>
      </c>
      <c r="O88" s="1" t="s">
        <v>274</v>
      </c>
      <c r="P88" s="179"/>
    </row>
    <row r="89" spans="1:17" s="1" customFormat="1" ht="45.75" x14ac:dyDescent="0.25">
      <c r="A89" s="91">
        <v>45478</v>
      </c>
      <c r="B89" s="91">
        <v>45478</v>
      </c>
      <c r="C89" s="91">
        <v>45502</v>
      </c>
      <c r="D89" s="88" t="s">
        <v>30</v>
      </c>
      <c r="E89" s="89" t="s">
        <v>127</v>
      </c>
      <c r="F89" s="262" t="s">
        <v>164</v>
      </c>
      <c r="G89" s="95" t="s">
        <v>156</v>
      </c>
      <c r="H89" s="69" t="s">
        <v>165</v>
      </c>
      <c r="I89" s="94"/>
      <c r="J89" s="76">
        <v>137.61000000000001</v>
      </c>
      <c r="K89" s="94"/>
      <c r="L89" s="67"/>
      <c r="M89" s="67">
        <f t="shared" si="6"/>
        <v>137.61000000000001</v>
      </c>
      <c r="N89" s="1" t="s">
        <v>273</v>
      </c>
      <c r="O89" s="1" t="s">
        <v>274</v>
      </c>
      <c r="P89" s="179"/>
    </row>
    <row r="90" spans="1:17" s="189" customFormat="1" ht="15" customHeight="1" x14ac:dyDescent="0.25">
      <c r="A90" s="181">
        <v>45291</v>
      </c>
      <c r="B90" s="181">
        <v>45291</v>
      </c>
      <c r="C90" s="181">
        <v>45291</v>
      </c>
      <c r="D90" s="182"/>
      <c r="E90" s="192" t="s">
        <v>34</v>
      </c>
      <c r="F90" s="209" t="s">
        <v>34</v>
      </c>
      <c r="G90" s="185" t="s">
        <v>28</v>
      </c>
      <c r="H90" s="191" t="s">
        <v>35</v>
      </c>
      <c r="I90" s="186"/>
      <c r="J90" s="187">
        <f>SUM(J65:J89)*7%</f>
        <v>874.16560000000015</v>
      </c>
      <c r="K90" s="186"/>
      <c r="L90" s="188"/>
      <c r="M90" s="188">
        <f>J90</f>
        <v>874.16560000000015</v>
      </c>
      <c r="N90" s="189" t="s">
        <v>273</v>
      </c>
      <c r="O90" s="189" t="s">
        <v>274</v>
      </c>
      <c r="P90" s="190">
        <f>SUM(M65:M90)</f>
        <v>13362.245600000002</v>
      </c>
      <c r="Q90" s="190">
        <f>'R6_Jan-Jun24'!M31</f>
        <v>13362.245600000002</v>
      </c>
    </row>
    <row r="91" spans="1:17" s="223" customFormat="1" ht="60.75" customHeight="1" x14ac:dyDescent="0.25">
      <c r="A91" s="240">
        <v>45476</v>
      </c>
      <c r="B91" s="240">
        <v>45476</v>
      </c>
      <c r="C91" s="240">
        <v>45538</v>
      </c>
      <c r="D91" s="241" t="s">
        <v>30</v>
      </c>
      <c r="E91" s="242" t="s">
        <v>78</v>
      </c>
      <c r="F91" s="253" t="s">
        <v>172</v>
      </c>
      <c r="G91" s="243" t="s">
        <v>31</v>
      </c>
      <c r="H91" s="244" t="s">
        <v>173</v>
      </c>
      <c r="I91" s="245"/>
      <c r="J91" s="246">
        <v>3900.07</v>
      </c>
      <c r="K91" s="245"/>
      <c r="L91" s="247"/>
      <c r="M91" s="247">
        <f>J91</f>
        <v>3900.07</v>
      </c>
      <c r="N91" s="223" t="s">
        <v>275</v>
      </c>
      <c r="O91" s="223" t="s">
        <v>276</v>
      </c>
      <c r="P91" s="222"/>
    </row>
    <row r="92" spans="1:17" s="223" customFormat="1" ht="45.75" x14ac:dyDescent="0.25">
      <c r="A92" s="238">
        <v>45526</v>
      </c>
      <c r="B92" s="238">
        <v>45526</v>
      </c>
      <c r="C92" s="238">
        <v>45541</v>
      </c>
      <c r="D92" s="248" t="s">
        <v>30</v>
      </c>
      <c r="E92" s="227" t="s">
        <v>107</v>
      </c>
      <c r="F92" s="268" t="s">
        <v>174</v>
      </c>
      <c r="G92" s="249" t="s">
        <v>156</v>
      </c>
      <c r="H92" s="237" t="s">
        <v>175</v>
      </c>
      <c r="I92" s="250"/>
      <c r="J92" s="251">
        <v>900</v>
      </c>
      <c r="K92" s="250"/>
      <c r="L92" s="232"/>
      <c r="M92" s="232">
        <f t="shared" ref="M92:M98" si="7">J92</f>
        <v>900</v>
      </c>
      <c r="N92" s="223" t="s">
        <v>275</v>
      </c>
      <c r="O92" s="223" t="s">
        <v>276</v>
      </c>
      <c r="P92" s="222"/>
    </row>
    <row r="93" spans="1:17" s="223" customFormat="1" ht="75.75" x14ac:dyDescent="0.25">
      <c r="A93" s="238">
        <v>45532</v>
      </c>
      <c r="B93" s="238">
        <v>45532</v>
      </c>
      <c r="C93" s="238">
        <v>45583</v>
      </c>
      <c r="D93" s="248" t="s">
        <v>30</v>
      </c>
      <c r="E93" s="227" t="s">
        <v>78</v>
      </c>
      <c r="F93" s="269" t="s">
        <v>176</v>
      </c>
      <c r="G93" s="252" t="s">
        <v>45</v>
      </c>
      <c r="H93" s="237" t="s">
        <v>177</v>
      </c>
      <c r="I93" s="250"/>
      <c r="J93" s="251">
        <v>122.85</v>
      </c>
      <c r="K93" s="250"/>
      <c r="L93" s="232"/>
      <c r="M93" s="232">
        <f t="shared" si="7"/>
        <v>122.85</v>
      </c>
      <c r="N93" s="223" t="s">
        <v>275</v>
      </c>
      <c r="O93" s="223" t="s">
        <v>276</v>
      </c>
      <c r="P93" s="222"/>
    </row>
    <row r="94" spans="1:17" s="223" customFormat="1" ht="75.75" x14ac:dyDescent="0.25">
      <c r="A94" s="238">
        <v>45532</v>
      </c>
      <c r="B94" s="238">
        <v>45532</v>
      </c>
      <c r="C94" s="238">
        <v>45558</v>
      </c>
      <c r="D94" s="248" t="s">
        <v>30</v>
      </c>
      <c r="E94" s="227" t="s">
        <v>78</v>
      </c>
      <c r="F94" s="269" t="s">
        <v>176</v>
      </c>
      <c r="G94" s="252" t="s">
        <v>45</v>
      </c>
      <c r="H94" s="237" t="s">
        <v>178</v>
      </c>
      <c r="I94" s="250"/>
      <c r="J94" s="251">
        <v>86.4</v>
      </c>
      <c r="K94" s="250"/>
      <c r="L94" s="232"/>
      <c r="M94" s="232">
        <f t="shared" si="7"/>
        <v>86.4</v>
      </c>
      <c r="N94" s="223" t="s">
        <v>275</v>
      </c>
      <c r="O94" s="223" t="s">
        <v>276</v>
      </c>
      <c r="P94" s="222"/>
    </row>
    <row r="95" spans="1:17" s="223" customFormat="1" ht="75.75" x14ac:dyDescent="0.25">
      <c r="A95" s="227">
        <v>45554</v>
      </c>
      <c r="B95" s="227">
        <v>45554</v>
      </c>
      <c r="C95" s="227">
        <v>45558</v>
      </c>
      <c r="D95" s="248" t="s">
        <v>30</v>
      </c>
      <c r="E95" s="227" t="s">
        <v>78</v>
      </c>
      <c r="F95" s="269" t="s">
        <v>176</v>
      </c>
      <c r="G95" s="252" t="s">
        <v>45</v>
      </c>
      <c r="H95" s="237" t="s">
        <v>179</v>
      </c>
      <c r="I95" s="231"/>
      <c r="J95" s="231">
        <v>35.85</v>
      </c>
      <c r="K95" s="231"/>
      <c r="L95" s="232"/>
      <c r="M95" s="232">
        <f t="shared" si="7"/>
        <v>35.85</v>
      </c>
      <c r="N95" s="223" t="s">
        <v>275</v>
      </c>
      <c r="O95" s="223" t="s">
        <v>276</v>
      </c>
      <c r="P95" s="222"/>
    </row>
    <row r="96" spans="1:17" s="223" customFormat="1" ht="45.75" x14ac:dyDescent="0.25">
      <c r="A96" s="227">
        <v>45537</v>
      </c>
      <c r="B96" s="227">
        <v>45566</v>
      </c>
      <c r="C96" s="227">
        <v>45568</v>
      </c>
      <c r="D96" s="248" t="s">
        <v>30</v>
      </c>
      <c r="E96" s="227" t="s">
        <v>78</v>
      </c>
      <c r="F96" s="269" t="s">
        <v>180</v>
      </c>
      <c r="G96" s="252" t="s">
        <v>45</v>
      </c>
      <c r="H96" s="237" t="s">
        <v>181</v>
      </c>
      <c r="I96" s="231"/>
      <c r="J96" s="251">
        <v>35.1</v>
      </c>
      <c r="K96" s="231"/>
      <c r="L96" s="232"/>
      <c r="M96" s="232">
        <f t="shared" si="7"/>
        <v>35.1</v>
      </c>
      <c r="N96" s="223" t="s">
        <v>275</v>
      </c>
      <c r="O96" s="223" t="s">
        <v>276</v>
      </c>
      <c r="P96" s="222"/>
    </row>
    <row r="97" spans="1:17" s="223" customFormat="1" ht="15" customHeight="1" x14ac:dyDescent="0.25">
      <c r="A97" s="227">
        <v>45534</v>
      </c>
      <c r="B97" s="227"/>
      <c r="C97" s="227">
        <v>45534</v>
      </c>
      <c r="D97" s="228" t="s">
        <v>30</v>
      </c>
      <c r="E97" s="227" t="s">
        <v>68</v>
      </c>
      <c r="F97" s="269" t="s">
        <v>182</v>
      </c>
      <c r="G97" s="230" t="s">
        <v>45</v>
      </c>
      <c r="H97" s="237" t="s">
        <v>183</v>
      </c>
      <c r="I97" s="231"/>
      <c r="J97" s="231">
        <v>828.29</v>
      </c>
      <c r="K97" s="231"/>
      <c r="L97" s="232"/>
      <c r="M97" s="232">
        <f t="shared" si="7"/>
        <v>828.29</v>
      </c>
      <c r="N97" s="223" t="s">
        <v>275</v>
      </c>
      <c r="O97" s="223" t="s">
        <v>276</v>
      </c>
      <c r="P97" s="222"/>
    </row>
    <row r="98" spans="1:17" s="223" customFormat="1" ht="15" customHeight="1" x14ac:dyDescent="0.25">
      <c r="A98" s="227">
        <v>45565</v>
      </c>
      <c r="B98" s="227"/>
      <c r="C98" s="227">
        <v>45565</v>
      </c>
      <c r="D98" s="228" t="s">
        <v>30</v>
      </c>
      <c r="E98" s="227" t="s">
        <v>68</v>
      </c>
      <c r="F98" s="269" t="s">
        <v>182</v>
      </c>
      <c r="G98" s="230" t="s">
        <v>45</v>
      </c>
      <c r="H98" s="237" t="s">
        <v>184</v>
      </c>
      <c r="I98" s="231"/>
      <c r="J98" s="251">
        <v>869.7</v>
      </c>
      <c r="K98" s="231"/>
      <c r="L98" s="232"/>
      <c r="M98" s="232">
        <f t="shared" si="7"/>
        <v>869.7</v>
      </c>
      <c r="N98" s="223" t="s">
        <v>275</v>
      </c>
      <c r="O98" s="223" t="s">
        <v>276</v>
      </c>
      <c r="P98" s="222"/>
    </row>
    <row r="99" spans="1:17" s="189" customFormat="1" ht="15" customHeight="1" thickBot="1" x14ac:dyDescent="0.3">
      <c r="A99" s="181">
        <v>45291</v>
      </c>
      <c r="B99" s="181">
        <v>45291</v>
      </c>
      <c r="C99" s="181">
        <v>45291</v>
      </c>
      <c r="D99" s="182"/>
      <c r="E99" s="183" t="s">
        <v>34</v>
      </c>
      <c r="F99" s="184" t="s">
        <v>34</v>
      </c>
      <c r="G99" s="185" t="s">
        <v>28</v>
      </c>
      <c r="H99" s="191" t="s">
        <v>35</v>
      </c>
      <c r="I99" s="186"/>
      <c r="J99" s="187">
        <f>SUM(J91:J98)*7%</f>
        <v>474.47820000000007</v>
      </c>
      <c r="K99" s="186"/>
      <c r="L99" s="188"/>
      <c r="M99" s="188">
        <f>J99</f>
        <v>474.47820000000007</v>
      </c>
      <c r="N99" s="189" t="s">
        <v>275</v>
      </c>
      <c r="O99" s="189" t="s">
        <v>276</v>
      </c>
      <c r="P99" s="190">
        <f>SUM(M91:M99)</f>
        <v>7252.7382000000007</v>
      </c>
      <c r="Q99" s="190">
        <f>'R7_Jul-Oct24'!M14</f>
        <v>7252.7382000000007</v>
      </c>
    </row>
    <row r="100" spans="1:17" s="223" customFormat="1" ht="15" customHeight="1" thickBot="1" x14ac:dyDescent="0.3">
      <c r="A100" s="238">
        <v>45573</v>
      </c>
      <c r="B100" s="238">
        <v>45573</v>
      </c>
      <c r="C100" s="238">
        <v>45623</v>
      </c>
      <c r="D100" s="241" t="s">
        <v>30</v>
      </c>
      <c r="E100" s="83" t="s">
        <v>127</v>
      </c>
      <c r="F100" s="62" t="s">
        <v>295</v>
      </c>
      <c r="G100" s="252" t="s">
        <v>186</v>
      </c>
      <c r="H100" s="244" t="s">
        <v>187</v>
      </c>
      <c r="I100" s="250"/>
      <c r="J100" s="246">
        <v>408.94</v>
      </c>
      <c r="K100" s="250"/>
      <c r="L100" s="232"/>
      <c r="M100" s="232">
        <f>J100</f>
        <v>408.94</v>
      </c>
      <c r="N100" s="223" t="s">
        <v>277</v>
      </c>
      <c r="O100" s="223" t="s">
        <v>278</v>
      </c>
      <c r="P100" s="222"/>
    </row>
    <row r="101" spans="1:17" s="223" customFormat="1" ht="46.5" thickBot="1" x14ac:dyDescent="0.3">
      <c r="A101" s="238">
        <v>45618</v>
      </c>
      <c r="B101" s="238">
        <v>45618</v>
      </c>
      <c r="C101" s="238">
        <v>45639</v>
      </c>
      <c r="D101" s="248" t="s">
        <v>30</v>
      </c>
      <c r="E101" s="83" t="s">
        <v>127</v>
      </c>
      <c r="F101" s="62" t="s">
        <v>296</v>
      </c>
      <c r="G101" s="252" t="s">
        <v>156</v>
      </c>
      <c r="H101" s="237" t="s">
        <v>188</v>
      </c>
      <c r="I101" s="250"/>
      <c r="J101" s="251">
        <v>696.84</v>
      </c>
      <c r="K101" s="250"/>
      <c r="L101" s="232"/>
      <c r="M101" s="232">
        <f t="shared" ref="M101:M106" si="8">J101</f>
        <v>696.84</v>
      </c>
      <c r="N101" s="223" t="s">
        <v>277</v>
      </c>
      <c r="O101" s="223" t="s">
        <v>278</v>
      </c>
      <c r="P101" s="222"/>
    </row>
    <row r="102" spans="1:17" s="223" customFormat="1" ht="76.5" thickBot="1" x14ac:dyDescent="0.3">
      <c r="A102" s="238">
        <v>45621</v>
      </c>
      <c r="B102" s="238">
        <v>45621</v>
      </c>
      <c r="C102" s="238">
        <v>45643</v>
      </c>
      <c r="D102" s="248" t="s">
        <v>30</v>
      </c>
      <c r="E102" s="83" t="s">
        <v>127</v>
      </c>
      <c r="F102" s="109" t="s">
        <v>174</v>
      </c>
      <c r="G102" s="252" t="s">
        <v>189</v>
      </c>
      <c r="H102" s="237" t="s">
        <v>190</v>
      </c>
      <c r="I102" s="250"/>
      <c r="J102" s="251">
        <v>1213.29</v>
      </c>
      <c r="K102" s="250"/>
      <c r="L102" s="232"/>
      <c r="M102" s="232">
        <f t="shared" si="8"/>
        <v>1213.29</v>
      </c>
      <c r="N102" s="223" t="s">
        <v>277</v>
      </c>
      <c r="O102" s="223" t="s">
        <v>278</v>
      </c>
      <c r="P102" s="222"/>
    </row>
    <row r="103" spans="1:17" s="223" customFormat="1" ht="46.5" thickBot="1" x14ac:dyDescent="0.3">
      <c r="A103" s="238">
        <v>45639</v>
      </c>
      <c r="B103" s="238">
        <v>45639</v>
      </c>
      <c r="C103" s="238">
        <v>45660</v>
      </c>
      <c r="D103" s="248" t="s">
        <v>30</v>
      </c>
      <c r="E103" s="83" t="s">
        <v>78</v>
      </c>
      <c r="F103" s="62" t="s">
        <v>297</v>
      </c>
      <c r="G103" s="252" t="s">
        <v>191</v>
      </c>
      <c r="H103" s="237" t="s">
        <v>192</v>
      </c>
      <c r="I103" s="250"/>
      <c r="J103" s="251">
        <v>355.22</v>
      </c>
      <c r="K103" s="250"/>
      <c r="L103" s="232"/>
      <c r="M103" s="232">
        <f t="shared" si="8"/>
        <v>355.22</v>
      </c>
      <c r="N103" s="223" t="s">
        <v>277</v>
      </c>
      <c r="O103" s="223" t="s">
        <v>278</v>
      </c>
      <c r="P103" s="222"/>
    </row>
    <row r="104" spans="1:17" s="223" customFormat="1" ht="61.5" thickBot="1" x14ac:dyDescent="0.3">
      <c r="A104" s="238">
        <v>45657</v>
      </c>
      <c r="B104" s="238">
        <v>45657</v>
      </c>
      <c r="C104" s="238">
        <v>45667</v>
      </c>
      <c r="D104" s="248" t="s">
        <v>30</v>
      </c>
      <c r="E104" s="83" t="s">
        <v>78</v>
      </c>
      <c r="F104" s="62" t="s">
        <v>297</v>
      </c>
      <c r="G104" s="230" t="s">
        <v>45</v>
      </c>
      <c r="H104" s="237" t="s">
        <v>194</v>
      </c>
      <c r="I104" s="250"/>
      <c r="J104" s="251">
        <v>78.45</v>
      </c>
      <c r="K104" s="250"/>
      <c r="L104" s="232"/>
      <c r="M104" s="232">
        <f t="shared" si="8"/>
        <v>78.45</v>
      </c>
      <c r="N104" s="223" t="s">
        <v>277</v>
      </c>
      <c r="O104" s="223" t="s">
        <v>278</v>
      </c>
      <c r="P104" s="222"/>
    </row>
    <row r="105" spans="1:17" s="223" customFormat="1" ht="61.5" thickBot="1" x14ac:dyDescent="0.3">
      <c r="A105" s="238">
        <v>45642</v>
      </c>
      <c r="B105" s="238">
        <v>45642</v>
      </c>
      <c r="C105" s="238">
        <v>45660</v>
      </c>
      <c r="D105" s="248" t="s">
        <v>30</v>
      </c>
      <c r="E105" s="83" t="s">
        <v>107</v>
      </c>
      <c r="F105" s="62" t="s">
        <v>299</v>
      </c>
      <c r="G105" s="252" t="s">
        <v>195</v>
      </c>
      <c r="H105" s="237" t="s">
        <v>196</v>
      </c>
      <c r="I105" s="250"/>
      <c r="J105" s="251">
        <v>11340</v>
      </c>
      <c r="K105" s="250"/>
      <c r="L105" s="232"/>
      <c r="M105" s="232">
        <f t="shared" si="8"/>
        <v>11340</v>
      </c>
      <c r="N105" s="223" t="s">
        <v>277</v>
      </c>
      <c r="O105" s="223" t="s">
        <v>278</v>
      </c>
      <c r="P105" s="222"/>
    </row>
    <row r="106" spans="1:17" s="223" customFormat="1" ht="46.5" thickBot="1" x14ac:dyDescent="0.3">
      <c r="A106" s="238">
        <v>45644</v>
      </c>
      <c r="B106" s="238">
        <v>45644</v>
      </c>
      <c r="C106" s="238">
        <v>45660</v>
      </c>
      <c r="D106" s="248" t="s">
        <v>30</v>
      </c>
      <c r="E106" s="83" t="s">
        <v>127</v>
      </c>
      <c r="F106" s="62" t="s">
        <v>174</v>
      </c>
      <c r="G106" s="252" t="s">
        <v>197</v>
      </c>
      <c r="H106" s="237" t="s">
        <v>198</v>
      </c>
      <c r="I106" s="250"/>
      <c r="J106" s="251">
        <v>243</v>
      </c>
      <c r="K106" s="250"/>
      <c r="L106" s="232"/>
      <c r="M106" s="232">
        <f t="shared" si="8"/>
        <v>243</v>
      </c>
      <c r="N106" s="223" t="s">
        <v>277</v>
      </c>
      <c r="O106" s="223" t="s">
        <v>278</v>
      </c>
      <c r="P106" s="222"/>
    </row>
    <row r="107" spans="1:17" s="189" customFormat="1" ht="15" customHeight="1" x14ac:dyDescent="0.25">
      <c r="A107" s="181">
        <v>45657</v>
      </c>
      <c r="B107" s="181">
        <v>45657</v>
      </c>
      <c r="C107" s="181">
        <v>45657</v>
      </c>
      <c r="D107" s="182"/>
      <c r="E107" s="183" t="s">
        <v>34</v>
      </c>
      <c r="F107" s="184" t="s">
        <v>34</v>
      </c>
      <c r="G107" s="185" t="s">
        <v>28</v>
      </c>
      <c r="H107" s="191" t="s">
        <v>35</v>
      </c>
      <c r="I107" s="186"/>
      <c r="J107" s="187">
        <f>SUM(J100:J106)*7%</f>
        <v>1003.5018000000001</v>
      </c>
      <c r="K107" s="186"/>
      <c r="L107" s="188"/>
      <c r="M107" s="188">
        <f>J107</f>
        <v>1003.5018000000001</v>
      </c>
      <c r="N107" s="189" t="s">
        <v>277</v>
      </c>
      <c r="O107" s="189" t="s">
        <v>278</v>
      </c>
      <c r="P107" s="190">
        <f>SUM(M100:M107)</f>
        <v>15339.2418</v>
      </c>
      <c r="Q107" s="190">
        <f>'R8_Nov-Dec24'!M13</f>
        <v>15339.2418</v>
      </c>
    </row>
    <row r="108" spans="1:17" ht="15.75" x14ac:dyDescent="0.25">
      <c r="K108" s="302" t="s">
        <v>279</v>
      </c>
      <c r="L108" s="303"/>
      <c r="M108" s="287">
        <f>SUM(M3:M107)</f>
        <v>52369.845027999989</v>
      </c>
      <c r="P108" s="176">
        <f>SUM(P107,P99,P90,P64,P47,P37,P18,P7)</f>
        <v>52369.845028000011</v>
      </c>
      <c r="Q108" s="176">
        <f>SUM(Q107,Q99,Q90,Q64,Q47,Q37,Q18,Q7)</f>
        <v>52369.845028000011</v>
      </c>
    </row>
    <row r="109" spans="1:17" ht="13.15" customHeight="1" x14ac:dyDescent="0.2">
      <c r="K109" s="302" t="s">
        <v>280</v>
      </c>
      <c r="L109" s="303"/>
      <c r="M109" s="177">
        <f>L3-M108</f>
        <v>27827.954972000014</v>
      </c>
    </row>
    <row r="110" spans="1:17" ht="15.75" x14ac:dyDescent="0.2">
      <c r="K110" s="302" t="s">
        <v>307</v>
      </c>
      <c r="L110" s="303"/>
      <c r="M110" s="177">
        <v>27827.98</v>
      </c>
      <c r="N110" s="324">
        <f>M110-M128</f>
        <v>0.22999999999956344</v>
      </c>
      <c r="O110" t="s">
        <v>305</v>
      </c>
    </row>
    <row r="111" spans="1:17" x14ac:dyDescent="0.2">
      <c r="L111" s="272"/>
      <c r="M111" s="324"/>
      <c r="N111" s="324">
        <f>M110-N110</f>
        <v>27827.75</v>
      </c>
    </row>
    <row r="112" spans="1:17" x14ac:dyDescent="0.2">
      <c r="L112" s="272"/>
      <c r="M112" s="324"/>
    </row>
    <row r="113" spans="8:23" x14ac:dyDescent="0.2">
      <c r="P113" s="271"/>
    </row>
    <row r="115" spans="8:23" x14ac:dyDescent="0.2">
      <c r="H115" s="273"/>
      <c r="I115" s="274"/>
      <c r="J115" s="274"/>
      <c r="K115" s="274"/>
      <c r="L115" s="275" t="s">
        <v>288</v>
      </c>
      <c r="M115" s="273" t="s">
        <v>294</v>
      </c>
      <c r="N115" s="274"/>
      <c r="O115" s="274"/>
      <c r="P115" s="281"/>
      <c r="Q115" s="282"/>
    </row>
    <row r="116" spans="8:23" x14ac:dyDescent="0.2">
      <c r="H116" s="276" t="s">
        <v>288</v>
      </c>
      <c r="I116" s="277"/>
      <c r="J116" s="277"/>
      <c r="K116" s="278" t="s">
        <v>291</v>
      </c>
      <c r="L116" s="279">
        <v>56522.400000000001</v>
      </c>
      <c r="M116" s="283">
        <v>54115.51</v>
      </c>
      <c r="N116" s="296"/>
      <c r="O116" s="277"/>
      <c r="P116" s="284"/>
      <c r="Q116" s="285"/>
    </row>
    <row r="117" spans="8:23" x14ac:dyDescent="0.2">
      <c r="H117" s="280" t="s">
        <v>288</v>
      </c>
      <c r="I117" s="277"/>
      <c r="J117" s="277"/>
      <c r="K117" s="278" t="s">
        <v>292</v>
      </c>
      <c r="L117" s="279">
        <f>L116*7%</f>
        <v>3956.5680000000007</v>
      </c>
      <c r="M117" s="286">
        <v>4073.21</v>
      </c>
      <c r="N117" s="296"/>
      <c r="O117" s="277"/>
      <c r="P117" s="284"/>
      <c r="Q117" s="285"/>
    </row>
    <row r="118" spans="8:23" x14ac:dyDescent="0.2">
      <c r="H118" s="280" t="s">
        <v>288</v>
      </c>
      <c r="I118" s="277"/>
      <c r="J118" s="277"/>
      <c r="K118" s="278" t="s">
        <v>289</v>
      </c>
      <c r="L118" s="279">
        <f>L116+L117</f>
        <v>60478.968000000001</v>
      </c>
      <c r="M118" s="283">
        <v>58188.72</v>
      </c>
      <c r="N118" s="297"/>
      <c r="O118" s="277"/>
      <c r="P118" s="284"/>
      <c r="Q118" s="285"/>
    </row>
    <row r="119" spans="8:23" x14ac:dyDescent="0.2">
      <c r="H119" s="288" t="s">
        <v>288</v>
      </c>
      <c r="I119" s="289"/>
      <c r="J119" s="289"/>
      <c r="K119" s="290" t="s">
        <v>290</v>
      </c>
      <c r="L119" s="291">
        <f>L118*90%</f>
        <v>54431.071199999998</v>
      </c>
      <c r="M119" s="292">
        <f>M118*90%</f>
        <v>52369.848000000005</v>
      </c>
      <c r="N119" s="293" t="s">
        <v>293</v>
      </c>
      <c r="O119" s="294"/>
      <c r="P119" s="294"/>
      <c r="Q119" s="295"/>
    </row>
    <row r="121" spans="8:23" x14ac:dyDescent="0.2">
      <c r="M121" s="204"/>
    </row>
    <row r="124" spans="8:23" x14ac:dyDescent="0.2">
      <c r="J124" s="349" t="s">
        <v>326</v>
      </c>
      <c r="K124" s="350"/>
      <c r="L124" s="351"/>
      <c r="M124" s="352" t="s">
        <v>25</v>
      </c>
      <c r="N124" s="204"/>
      <c r="O124" s="204"/>
    </row>
    <row r="125" spans="8:23" x14ac:dyDescent="0.2">
      <c r="J125" s="322" t="s">
        <v>300</v>
      </c>
      <c r="K125" s="322"/>
      <c r="L125" s="322"/>
      <c r="M125" s="323">
        <v>40248.9</v>
      </c>
      <c r="N125" s="204"/>
      <c r="O125" s="204"/>
    </row>
    <row r="126" spans="8:23" x14ac:dyDescent="0.2">
      <c r="J126" s="322" t="s">
        <v>301</v>
      </c>
      <c r="K126" s="322"/>
      <c r="L126" s="322"/>
      <c r="M126" s="323">
        <v>39948.9</v>
      </c>
    </row>
    <row r="127" spans="8:23" ht="13.5" thickBot="1" x14ac:dyDescent="0.25">
      <c r="J127" s="353" t="s">
        <v>302</v>
      </c>
      <c r="K127" s="353"/>
      <c r="L127" s="353"/>
      <c r="M127" s="354">
        <v>52370.05</v>
      </c>
    </row>
    <row r="128" spans="8:23" x14ac:dyDescent="0.2">
      <c r="H128" s="355"/>
      <c r="I128" s="356"/>
      <c r="J128" s="357" t="s">
        <v>303</v>
      </c>
      <c r="K128" s="357"/>
      <c r="L128" s="357"/>
      <c r="M128" s="358">
        <f>M125+M126-M127</f>
        <v>27827.75</v>
      </c>
      <c r="N128" s="359" t="s">
        <v>304</v>
      </c>
      <c r="O128" s="360" t="s">
        <v>306</v>
      </c>
      <c r="P128" s="360"/>
      <c r="Q128" s="356"/>
      <c r="R128" s="356"/>
      <c r="S128" s="356"/>
      <c r="T128" s="356"/>
      <c r="U128" s="356"/>
      <c r="V128" s="356"/>
      <c r="W128" s="361"/>
    </row>
    <row r="129" spans="8:23" x14ac:dyDescent="0.2">
      <c r="H129" s="362"/>
      <c r="I129" s="277"/>
      <c r="J129" s="277"/>
      <c r="K129" s="277"/>
      <c r="L129" s="277"/>
      <c r="M129" s="277"/>
      <c r="N129" s="296">
        <v>0.03</v>
      </c>
      <c r="O129" s="277" t="s">
        <v>308</v>
      </c>
      <c r="P129" s="284"/>
      <c r="Q129" s="277"/>
      <c r="R129" s="277"/>
      <c r="S129" s="277"/>
      <c r="T129" s="277"/>
      <c r="U129" s="277"/>
      <c r="V129" s="277"/>
      <c r="W129" s="363"/>
    </row>
    <row r="130" spans="8:23" x14ac:dyDescent="0.2">
      <c r="H130" s="362"/>
      <c r="I130" s="277"/>
      <c r="J130" s="277"/>
      <c r="K130" s="277"/>
      <c r="L130" s="277"/>
      <c r="M130" s="277"/>
      <c r="N130" s="296">
        <f>M127-M119</f>
        <v>0.20199999999749707</v>
      </c>
      <c r="O130" s="277" t="s">
        <v>305</v>
      </c>
      <c r="P130" s="284"/>
      <c r="Q130" s="277"/>
      <c r="R130" s="277"/>
      <c r="S130" s="277"/>
      <c r="T130" s="277"/>
      <c r="U130" s="277"/>
      <c r="V130" s="277"/>
      <c r="W130" s="363"/>
    </row>
    <row r="131" spans="8:23" ht="13.5" thickBot="1" x14ac:dyDescent="0.25">
      <c r="H131" s="364"/>
      <c r="I131" s="365"/>
      <c r="J131" s="365"/>
      <c r="K131" s="365"/>
      <c r="L131" s="365"/>
      <c r="M131" s="366"/>
      <c r="N131" s="367">
        <f>SUM(N129:N130)</f>
        <v>0.23199999999749707</v>
      </c>
      <c r="O131" s="368" t="s">
        <v>327</v>
      </c>
      <c r="P131" s="368"/>
      <c r="Q131" s="368"/>
      <c r="R131" s="368"/>
      <c r="S131" s="368"/>
      <c r="T131" s="365"/>
      <c r="U131" s="365"/>
      <c r="V131" s="365"/>
      <c r="W131" s="369"/>
    </row>
    <row r="132" spans="8:23" ht="15.75" x14ac:dyDescent="0.2">
      <c r="H132" s="348" t="s">
        <v>325</v>
      </c>
      <c r="I132" s="325"/>
      <c r="J132" s="325"/>
      <c r="K132" s="325"/>
      <c r="L132" s="325"/>
      <c r="M132" s="325"/>
      <c r="N132" s="325"/>
      <c r="O132" s="326"/>
    </row>
    <row r="133" spans="8:23" x14ac:dyDescent="0.2">
      <c r="H133" s="326"/>
      <c r="I133" s="326"/>
      <c r="J133" s="326"/>
      <c r="K133" s="326"/>
      <c r="L133" s="326"/>
      <c r="M133" s="326"/>
      <c r="N133" s="326"/>
      <c r="O133" s="326"/>
    </row>
    <row r="134" spans="8:23" x14ac:dyDescent="0.2">
      <c r="H134" s="326"/>
      <c r="I134" s="326"/>
      <c r="J134" s="326"/>
      <c r="K134" s="326"/>
      <c r="L134" s="326"/>
      <c r="M134" s="326"/>
      <c r="N134" s="326"/>
      <c r="O134" s="326"/>
    </row>
    <row r="135" spans="8:23" ht="15.75" x14ac:dyDescent="0.2">
      <c r="H135" s="327" t="s">
        <v>309</v>
      </c>
      <c r="I135" s="327"/>
      <c r="J135" s="327"/>
      <c r="K135" s="327"/>
      <c r="L135" s="327"/>
      <c r="M135" s="327"/>
      <c r="N135" s="326"/>
      <c r="O135" s="326"/>
    </row>
    <row r="136" spans="8:23" x14ac:dyDescent="0.2">
      <c r="H136" s="326"/>
      <c r="I136" s="326"/>
      <c r="J136" s="326"/>
      <c r="K136" s="326"/>
      <c r="L136" s="326"/>
      <c r="M136" s="326"/>
      <c r="N136" s="326"/>
      <c r="O136" s="326"/>
    </row>
    <row r="137" spans="8:23" ht="36" x14ac:dyDescent="0.2">
      <c r="H137" s="328" t="s">
        <v>310</v>
      </c>
      <c r="I137" s="328" t="s">
        <v>311</v>
      </c>
      <c r="J137" s="328" t="s">
        <v>312</v>
      </c>
      <c r="K137" s="328" t="s">
        <v>313</v>
      </c>
      <c r="L137" s="328" t="s">
        <v>314</v>
      </c>
      <c r="M137" s="328" t="s">
        <v>315</v>
      </c>
      <c r="N137" s="328" t="s">
        <v>316</v>
      </c>
      <c r="O137" s="328" t="s">
        <v>199</v>
      </c>
    </row>
    <row r="138" spans="8:23" x14ac:dyDescent="0.2">
      <c r="H138" s="329" t="s">
        <v>317</v>
      </c>
      <c r="I138" s="329"/>
      <c r="J138" s="329"/>
      <c r="K138" s="329"/>
      <c r="L138" s="329"/>
      <c r="M138" s="329"/>
      <c r="N138" s="329"/>
      <c r="O138" s="329"/>
    </row>
    <row r="139" spans="8:23" x14ac:dyDescent="0.2">
      <c r="H139" s="330" t="s">
        <v>318</v>
      </c>
      <c r="I139" s="331" t="s">
        <v>319</v>
      </c>
      <c r="J139" s="331" t="s">
        <v>320</v>
      </c>
      <c r="K139" s="332">
        <v>27827.98</v>
      </c>
      <c r="L139" s="332">
        <v>27827.98</v>
      </c>
      <c r="M139" s="332"/>
      <c r="N139" s="333"/>
      <c r="O139" s="332">
        <v>-27827.98</v>
      </c>
    </row>
    <row r="140" spans="8:23" x14ac:dyDescent="0.2">
      <c r="H140" s="334"/>
      <c r="I140" s="335"/>
      <c r="J140" s="336" t="s">
        <v>320</v>
      </c>
      <c r="K140" s="337">
        <v>27827.98</v>
      </c>
      <c r="L140" s="337">
        <v>27827.98</v>
      </c>
      <c r="M140" s="337"/>
      <c r="N140" s="338"/>
      <c r="O140" s="337">
        <v>-27827.98</v>
      </c>
    </row>
    <row r="141" spans="8:23" x14ac:dyDescent="0.2">
      <c r="H141" s="339"/>
      <c r="I141" s="340"/>
      <c r="J141" s="341" t="s">
        <v>321</v>
      </c>
      <c r="K141" s="342">
        <v>27827.98</v>
      </c>
      <c r="L141" s="342">
        <v>27827.98</v>
      </c>
      <c r="M141" s="342"/>
      <c r="N141" s="343"/>
      <c r="O141" s="342">
        <v>-27827.98</v>
      </c>
    </row>
    <row r="142" spans="8:23" x14ac:dyDescent="0.2">
      <c r="H142" s="329" t="s">
        <v>317</v>
      </c>
      <c r="I142" s="329"/>
      <c r="J142" s="329"/>
      <c r="K142" s="329"/>
      <c r="L142" s="329"/>
      <c r="M142" s="329"/>
      <c r="N142" s="329"/>
      <c r="O142" s="329"/>
    </row>
    <row r="143" spans="8:23" x14ac:dyDescent="0.2">
      <c r="H143" s="344" t="s">
        <v>318</v>
      </c>
      <c r="I143" s="345" t="s">
        <v>322</v>
      </c>
      <c r="J143" s="345" t="s">
        <v>201</v>
      </c>
      <c r="K143" s="346">
        <v>-27827.98</v>
      </c>
      <c r="L143" s="346">
        <v>-27827.98</v>
      </c>
      <c r="M143" s="346"/>
      <c r="N143" s="347"/>
      <c r="O143" s="346">
        <v>27827.98</v>
      </c>
    </row>
    <row r="144" spans="8:23" x14ac:dyDescent="0.2">
      <c r="H144" s="334"/>
      <c r="I144" s="335"/>
      <c r="J144" s="336" t="s">
        <v>323</v>
      </c>
      <c r="K144" s="337">
        <v>-27827.98</v>
      </c>
      <c r="L144" s="337">
        <v>-27827.98</v>
      </c>
      <c r="M144" s="337"/>
      <c r="N144" s="338"/>
      <c r="O144" s="337">
        <v>27827.98</v>
      </c>
    </row>
    <row r="145" spans="8:15" x14ac:dyDescent="0.2">
      <c r="H145" s="339"/>
      <c r="I145" s="340"/>
      <c r="J145" s="341" t="s">
        <v>324</v>
      </c>
      <c r="K145" s="342">
        <v>-27827.98</v>
      </c>
      <c r="L145" s="342">
        <v>-27827.98</v>
      </c>
      <c r="M145" s="342"/>
      <c r="N145" s="343"/>
      <c r="O145" s="342">
        <v>27827.98</v>
      </c>
    </row>
    <row r="146" spans="8:15" x14ac:dyDescent="0.2">
      <c r="O146">
        <v>-0.23</v>
      </c>
    </row>
    <row r="147" spans="8:15" x14ac:dyDescent="0.2">
      <c r="O147" s="370">
        <f>O145+O146</f>
        <v>27827.75</v>
      </c>
    </row>
  </sheetData>
  <autoFilter ref="A2:P109" xr:uid="{1E58B514-8290-44D0-962C-07144C4B7881}"/>
  <mergeCells count="12">
    <mergeCell ref="H132:N132"/>
    <mergeCell ref="H135:M135"/>
    <mergeCell ref="H138:O138"/>
    <mergeCell ref="H142:O142"/>
    <mergeCell ref="J128:L128"/>
    <mergeCell ref="J124:L124"/>
    <mergeCell ref="K110:L110"/>
    <mergeCell ref="K108:L108"/>
    <mergeCell ref="K109:L109"/>
    <mergeCell ref="J125:L125"/>
    <mergeCell ref="J126:L126"/>
    <mergeCell ref="J127:L127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463AA-AADD-4E20-B723-45D490825B06}">
  <dimension ref="A1:O72"/>
  <sheetViews>
    <sheetView zoomScale="70" zoomScaleNormal="70" workbookViewId="0">
      <selection activeCell="E5" sqref="E5:E11"/>
    </sheetView>
  </sheetViews>
  <sheetFormatPr defaultColWidth="9.85546875" defaultRowHeight="15" x14ac:dyDescent="0.2"/>
  <cols>
    <col min="1" max="1" width="12.85546875" style="8" customWidth="1"/>
    <col min="2" max="2" width="16.85546875" style="8" customWidth="1"/>
    <col min="3" max="3" width="15.42578125" style="8" customWidth="1"/>
    <col min="4" max="4" width="16.140625" style="1" customWidth="1"/>
    <col min="5" max="5" width="14.5703125" style="9" customWidth="1"/>
    <col min="6" max="6" width="27.7109375" style="9" bestFit="1" customWidth="1"/>
    <col min="7" max="7" width="34.42578125" style="10" customWidth="1"/>
    <col min="8" max="8" width="71.28515625" style="1" customWidth="1"/>
    <col min="9" max="9" width="13" style="1" customWidth="1"/>
    <col min="10" max="10" width="12.85546875" style="1" customWidth="1"/>
    <col min="11" max="11" width="13" style="1" customWidth="1"/>
    <col min="12" max="12" width="11.85546875" style="11" customWidth="1"/>
    <col min="13" max="13" width="13.42578125" style="11" customWidth="1"/>
    <col min="14" max="14" width="6.28515625" style="1" customWidth="1"/>
    <col min="15" max="15" width="13.140625" style="1" bestFit="1" customWidth="1"/>
    <col min="16" max="16384" width="9.85546875" style="1"/>
  </cols>
  <sheetData>
    <row r="1" spans="1:15" s="2" customFormat="1" ht="31.5" x14ac:dyDescent="0.2">
      <c r="A1" s="7"/>
      <c r="B1" s="5" t="s">
        <v>0</v>
      </c>
      <c r="C1" s="25" t="s">
        <v>26</v>
      </c>
      <c r="D1" s="6" t="s">
        <v>1</v>
      </c>
      <c r="E1" s="304"/>
      <c r="F1" s="305"/>
      <c r="G1" s="306"/>
      <c r="H1" s="4" t="s">
        <v>2</v>
      </c>
      <c r="I1" s="4"/>
      <c r="J1" s="307" t="s">
        <v>36</v>
      </c>
      <c r="K1" s="307"/>
      <c r="L1" s="307"/>
      <c r="M1" s="307"/>
    </row>
    <row r="2" spans="1:15" ht="61.5" x14ac:dyDescent="0.25">
      <c r="A2" s="49"/>
      <c r="B2" s="6" t="s">
        <v>3</v>
      </c>
      <c r="C2" s="82" t="s">
        <v>185</v>
      </c>
      <c r="D2" s="6" t="s">
        <v>4</v>
      </c>
      <c r="E2" s="304" t="s">
        <v>27</v>
      </c>
      <c r="F2" s="305"/>
      <c r="G2" s="306"/>
      <c r="H2" s="3"/>
      <c r="I2" s="3"/>
      <c r="J2" s="3"/>
      <c r="K2" s="3"/>
      <c r="L2" s="13" t="s">
        <v>5</v>
      </c>
      <c r="M2" s="26" t="s">
        <v>25</v>
      </c>
    </row>
    <row r="3" spans="1:15" s="12" customFormat="1" ht="63" x14ac:dyDescent="0.2">
      <c r="A3" s="50" t="s">
        <v>6</v>
      </c>
      <c r="B3" s="50" t="s">
        <v>7</v>
      </c>
      <c r="C3" s="50" t="s">
        <v>8</v>
      </c>
      <c r="D3" s="14" t="s">
        <v>9</v>
      </c>
      <c r="E3" s="50" t="s">
        <v>10</v>
      </c>
      <c r="F3" s="51" t="s">
        <v>11</v>
      </c>
      <c r="G3" s="51" t="s">
        <v>12</v>
      </c>
      <c r="H3" s="52" t="s">
        <v>13</v>
      </c>
      <c r="I3" s="53" t="s">
        <v>14</v>
      </c>
      <c r="J3" s="53" t="s">
        <v>15</v>
      </c>
      <c r="K3" s="52" t="s">
        <v>16</v>
      </c>
      <c r="L3" s="53" t="s">
        <v>17</v>
      </c>
      <c r="M3" s="53" t="s">
        <v>18</v>
      </c>
    </row>
    <row r="4" spans="1:15" ht="15" customHeight="1" thickBot="1" x14ac:dyDescent="0.3">
      <c r="A4" s="35">
        <v>45565</v>
      </c>
      <c r="B4" s="35"/>
      <c r="C4" s="35"/>
      <c r="D4" s="36"/>
      <c r="E4" s="75"/>
      <c r="F4" s="75"/>
      <c r="G4" s="38"/>
      <c r="H4" s="39" t="s">
        <v>19</v>
      </c>
      <c r="I4" s="39">
        <v>43167.19</v>
      </c>
      <c r="J4" s="39"/>
      <c r="K4" s="39"/>
      <c r="L4" s="41">
        <f>I4</f>
        <v>43167.19</v>
      </c>
      <c r="M4" s="41">
        <v>0</v>
      </c>
    </row>
    <row r="5" spans="1:15" ht="15" customHeight="1" thickBot="1" x14ac:dyDescent="0.3">
      <c r="A5" s="91">
        <v>45573</v>
      </c>
      <c r="B5" s="91">
        <v>45573</v>
      </c>
      <c r="C5" s="91">
        <v>45623</v>
      </c>
      <c r="D5" s="102" t="s">
        <v>30</v>
      </c>
      <c r="E5" s="83" t="s">
        <v>127</v>
      </c>
      <c r="F5" s="62" t="s">
        <v>295</v>
      </c>
      <c r="G5" s="90" t="s">
        <v>186</v>
      </c>
      <c r="H5" s="106" t="s">
        <v>187</v>
      </c>
      <c r="I5" s="94"/>
      <c r="J5" s="107">
        <v>408.94</v>
      </c>
      <c r="K5" s="94"/>
      <c r="L5" s="67"/>
      <c r="M5" s="67">
        <f>J5</f>
        <v>408.94</v>
      </c>
      <c r="N5" s="1" t="s">
        <v>40</v>
      </c>
      <c r="O5" s="1" t="s">
        <v>47</v>
      </c>
    </row>
    <row r="6" spans="1:15" ht="31.5" thickBot="1" x14ac:dyDescent="0.3">
      <c r="A6" s="91">
        <v>45618</v>
      </c>
      <c r="B6" s="91">
        <v>45618</v>
      </c>
      <c r="C6" s="91">
        <v>45639</v>
      </c>
      <c r="D6" s="88" t="s">
        <v>30</v>
      </c>
      <c r="E6" s="83" t="s">
        <v>127</v>
      </c>
      <c r="F6" s="62" t="s">
        <v>296</v>
      </c>
      <c r="G6" s="90" t="s">
        <v>156</v>
      </c>
      <c r="H6" s="69" t="s">
        <v>188</v>
      </c>
      <c r="I6" s="94"/>
      <c r="J6" s="76">
        <v>696.84</v>
      </c>
      <c r="K6" s="94"/>
      <c r="L6" s="67"/>
      <c r="M6" s="67">
        <f t="shared" ref="M6:M11" si="0">J6</f>
        <v>696.84</v>
      </c>
      <c r="N6" s="1" t="s">
        <v>41</v>
      </c>
      <c r="O6" s="1" t="s">
        <v>47</v>
      </c>
    </row>
    <row r="7" spans="1:15" ht="61.5" thickBot="1" x14ac:dyDescent="0.3">
      <c r="A7" s="91">
        <v>45621</v>
      </c>
      <c r="B7" s="91">
        <v>45621</v>
      </c>
      <c r="C7" s="91">
        <v>45643</v>
      </c>
      <c r="D7" s="88" t="s">
        <v>30</v>
      </c>
      <c r="E7" s="83" t="s">
        <v>127</v>
      </c>
      <c r="F7" s="109" t="s">
        <v>174</v>
      </c>
      <c r="G7" s="90" t="s">
        <v>189</v>
      </c>
      <c r="H7" s="69" t="s">
        <v>190</v>
      </c>
      <c r="I7" s="94"/>
      <c r="J7" s="76">
        <v>1213.29</v>
      </c>
      <c r="K7" s="94"/>
      <c r="L7" s="67"/>
      <c r="M7" s="67">
        <f t="shared" si="0"/>
        <v>1213.29</v>
      </c>
      <c r="N7" s="1" t="s">
        <v>42</v>
      </c>
      <c r="O7" s="1" t="s">
        <v>47</v>
      </c>
    </row>
    <row r="8" spans="1:15" ht="31.5" thickBot="1" x14ac:dyDescent="0.3">
      <c r="A8" s="91">
        <v>45639</v>
      </c>
      <c r="B8" s="91">
        <v>45639</v>
      </c>
      <c r="C8" s="91">
        <v>45660</v>
      </c>
      <c r="D8" s="88" t="s">
        <v>30</v>
      </c>
      <c r="E8" s="83" t="s">
        <v>78</v>
      </c>
      <c r="F8" s="62" t="s">
        <v>297</v>
      </c>
      <c r="G8" s="90" t="s">
        <v>191</v>
      </c>
      <c r="H8" s="69" t="s">
        <v>192</v>
      </c>
      <c r="I8" s="94"/>
      <c r="J8" s="76">
        <v>355.22</v>
      </c>
      <c r="K8" s="94"/>
      <c r="L8" s="67"/>
      <c r="M8" s="67">
        <f t="shared" si="0"/>
        <v>355.22</v>
      </c>
      <c r="N8" s="1" t="s">
        <v>193</v>
      </c>
      <c r="O8" s="1" t="s">
        <v>47</v>
      </c>
    </row>
    <row r="9" spans="1:15" ht="46.5" thickBot="1" x14ac:dyDescent="0.3">
      <c r="A9" s="91">
        <v>45657</v>
      </c>
      <c r="B9" s="91">
        <v>45657</v>
      </c>
      <c r="C9" s="91">
        <v>45667</v>
      </c>
      <c r="D9" s="88" t="s">
        <v>30</v>
      </c>
      <c r="E9" s="83" t="s">
        <v>78</v>
      </c>
      <c r="F9" s="62" t="s">
        <v>297</v>
      </c>
      <c r="G9" s="65" t="s">
        <v>45</v>
      </c>
      <c r="H9" s="69" t="s">
        <v>194</v>
      </c>
      <c r="I9" s="94"/>
      <c r="J9" s="76">
        <v>78.45</v>
      </c>
      <c r="K9" s="94"/>
      <c r="L9" s="67"/>
      <c r="M9" s="67">
        <f t="shared" si="0"/>
        <v>78.45</v>
      </c>
      <c r="N9" s="1" t="s">
        <v>52</v>
      </c>
      <c r="O9" s="1" t="s">
        <v>47</v>
      </c>
    </row>
    <row r="10" spans="1:15" ht="46.5" thickBot="1" x14ac:dyDescent="0.3">
      <c r="A10" s="91">
        <v>45642</v>
      </c>
      <c r="B10" s="91">
        <v>45642</v>
      </c>
      <c r="C10" s="91">
        <v>45660</v>
      </c>
      <c r="D10" s="88" t="s">
        <v>30</v>
      </c>
      <c r="E10" s="83"/>
      <c r="F10" s="62" t="s">
        <v>298</v>
      </c>
      <c r="G10" s="90" t="s">
        <v>195</v>
      </c>
      <c r="H10" s="69" t="s">
        <v>196</v>
      </c>
      <c r="I10" s="94"/>
      <c r="J10" s="76">
        <v>11340</v>
      </c>
      <c r="K10" s="94"/>
      <c r="L10" s="67"/>
      <c r="M10" s="67">
        <f t="shared" si="0"/>
        <v>11340</v>
      </c>
      <c r="N10" s="1" t="s">
        <v>54</v>
      </c>
      <c r="O10" s="1" t="s">
        <v>47</v>
      </c>
    </row>
    <row r="11" spans="1:15" ht="31.5" thickBot="1" x14ac:dyDescent="0.3">
      <c r="A11" s="91">
        <v>45644</v>
      </c>
      <c r="B11" s="91">
        <v>45644</v>
      </c>
      <c r="C11" s="91">
        <v>45660</v>
      </c>
      <c r="D11" s="88" t="s">
        <v>30</v>
      </c>
      <c r="E11" s="83" t="s">
        <v>127</v>
      </c>
      <c r="F11" s="62" t="s">
        <v>174</v>
      </c>
      <c r="G11" s="90" t="s">
        <v>197</v>
      </c>
      <c r="H11" s="69" t="s">
        <v>198</v>
      </c>
      <c r="I11" s="94"/>
      <c r="J11" s="76">
        <v>243</v>
      </c>
      <c r="K11" s="94"/>
      <c r="L11" s="67"/>
      <c r="M11" s="67">
        <f t="shared" si="0"/>
        <v>243</v>
      </c>
      <c r="N11" s="1" t="s">
        <v>56</v>
      </c>
      <c r="O11" s="1" t="s">
        <v>47</v>
      </c>
    </row>
    <row r="12" spans="1:15" ht="15" customHeight="1" x14ac:dyDescent="0.25">
      <c r="A12" s="75">
        <v>45657</v>
      </c>
      <c r="B12" s="75"/>
      <c r="C12" s="75">
        <v>45657</v>
      </c>
      <c r="D12" s="36"/>
      <c r="E12" s="70" t="s">
        <v>33</v>
      </c>
      <c r="F12" s="71" t="s">
        <v>34</v>
      </c>
      <c r="G12" s="44" t="s">
        <v>28</v>
      </c>
      <c r="H12" s="112" t="s">
        <v>35</v>
      </c>
      <c r="I12" s="86"/>
      <c r="J12" s="87">
        <f>SUM(J5:J11)*7%</f>
        <v>1003.5018000000001</v>
      </c>
      <c r="K12" s="86"/>
      <c r="L12" s="41"/>
      <c r="M12" s="41">
        <f>J12</f>
        <v>1003.5018000000001</v>
      </c>
    </row>
    <row r="13" spans="1:15" ht="18" customHeight="1" x14ac:dyDescent="0.2">
      <c r="A13" s="3"/>
      <c r="B13" s="3"/>
      <c r="C13" s="3"/>
      <c r="D13" s="3"/>
      <c r="E13" s="3"/>
      <c r="F13" s="15"/>
      <c r="G13" s="16"/>
      <c r="H13" s="19" t="s">
        <v>20</v>
      </c>
      <c r="I13" s="19"/>
      <c r="J13" s="19"/>
      <c r="K13" s="19"/>
      <c r="L13" s="72">
        <f>SUM(L4:L12)</f>
        <v>43167.19</v>
      </c>
      <c r="M13" s="73">
        <f>SUM(M4:M12)</f>
        <v>15339.2418</v>
      </c>
      <c r="N13" s="1" t="s">
        <v>64</v>
      </c>
      <c r="O13" s="1" t="s">
        <v>167</v>
      </c>
    </row>
    <row r="14" spans="1:15" ht="18" customHeight="1" x14ac:dyDescent="0.25">
      <c r="A14" s="3"/>
      <c r="B14" s="3"/>
      <c r="C14" s="3"/>
      <c r="D14" s="3"/>
      <c r="E14" s="3"/>
      <c r="F14" s="15"/>
      <c r="G14" s="16"/>
      <c r="H14" s="20" t="s">
        <v>21</v>
      </c>
      <c r="I14" s="20"/>
      <c r="J14" s="20"/>
      <c r="K14" s="19"/>
      <c r="L14" s="21" t="str">
        <f>IF(L13&lt;=M13,M13-L13,"")</f>
        <v/>
      </c>
      <c r="M14" s="21">
        <f>IF(M13&gt;=L13,"",L13-M13)</f>
        <v>27827.948200000003</v>
      </c>
      <c r="N14" s="11" t="s">
        <v>199</v>
      </c>
    </row>
    <row r="15" spans="1:15" ht="18" customHeight="1" thickBot="1" x14ac:dyDescent="0.25">
      <c r="A15" s="3"/>
      <c r="B15" s="3"/>
      <c r="C15" s="3"/>
      <c r="D15" s="3"/>
      <c r="E15" s="3"/>
      <c r="F15" s="15"/>
      <c r="G15" s="16"/>
      <c r="H15" s="19" t="s">
        <v>22</v>
      </c>
      <c r="I15" s="19"/>
      <c r="J15" s="19"/>
      <c r="K15" s="19"/>
      <c r="L15" s="22">
        <f>SUM(L13:L14)</f>
        <v>43167.19</v>
      </c>
      <c r="M15" s="22">
        <f>SUM(M13:M14)</f>
        <v>43167.19</v>
      </c>
    </row>
    <row r="16" spans="1:15" ht="12.95" customHeight="1" thickTop="1" x14ac:dyDescent="0.2">
      <c r="A16" s="3"/>
      <c r="B16" s="3"/>
      <c r="C16" s="3"/>
      <c r="D16" s="3"/>
      <c r="E16" s="3"/>
      <c r="F16" s="15"/>
      <c r="G16" s="16"/>
      <c r="H16" s="3"/>
      <c r="I16" s="3"/>
      <c r="J16" s="3"/>
      <c r="K16" s="3"/>
      <c r="L16" s="23"/>
      <c r="M16" s="23"/>
    </row>
    <row r="17" spans="1:13" ht="24.95" customHeight="1" x14ac:dyDescent="0.2">
      <c r="A17" s="3"/>
      <c r="B17" s="3"/>
      <c r="C17" s="3"/>
      <c r="D17" s="3"/>
      <c r="E17" s="3"/>
      <c r="F17" s="17"/>
      <c r="G17" s="24" t="s">
        <v>23</v>
      </c>
      <c r="H17" s="308"/>
      <c r="I17" s="309"/>
      <c r="J17" s="309"/>
      <c r="K17" s="309"/>
      <c r="L17" s="309"/>
      <c r="M17" s="310"/>
    </row>
    <row r="18" spans="1:13" ht="12.95" customHeight="1" x14ac:dyDescent="0.2">
      <c r="A18" s="3"/>
      <c r="B18" s="3"/>
      <c r="C18" s="3"/>
      <c r="D18" s="3"/>
      <c r="E18" s="3"/>
      <c r="F18" s="15"/>
      <c r="G18" s="18"/>
      <c r="H18" s="3"/>
      <c r="I18" s="3"/>
      <c r="J18" s="3"/>
      <c r="K18" s="3"/>
      <c r="L18" s="23"/>
      <c r="M18" s="23"/>
    </row>
    <row r="19" spans="1:13" ht="24.95" customHeight="1" x14ac:dyDescent="0.2">
      <c r="A19" s="3"/>
      <c r="B19" s="3"/>
      <c r="C19" s="3"/>
      <c r="D19" s="3"/>
      <c r="E19" s="3"/>
      <c r="F19" s="17"/>
      <c r="G19" s="24" t="s">
        <v>24</v>
      </c>
      <c r="H19" s="311"/>
      <c r="I19" s="312"/>
      <c r="J19" s="312"/>
      <c r="K19" s="312"/>
      <c r="L19" s="312"/>
      <c r="M19" s="313"/>
    </row>
    <row r="20" spans="1:13" ht="12.95" customHeight="1" x14ac:dyDescent="0.2"/>
    <row r="21" spans="1:13" ht="12.95" customHeight="1" x14ac:dyDescent="0.2"/>
    <row r="22" spans="1:13" ht="12.95" customHeight="1" x14ac:dyDescent="0.2"/>
    <row r="23" spans="1:13" ht="12.95" customHeight="1" x14ac:dyDescent="0.2"/>
    <row r="24" spans="1:13" ht="12.95" customHeight="1" x14ac:dyDescent="0.2"/>
    <row r="25" spans="1:13" ht="12.95" customHeight="1" x14ac:dyDescent="0.2"/>
    <row r="26" spans="1:13" ht="12.95" customHeight="1" x14ac:dyDescent="0.2"/>
    <row r="27" spans="1:13" ht="12.95" customHeight="1" x14ac:dyDescent="0.2"/>
    <row r="28" spans="1:13" ht="12.95" customHeight="1" x14ac:dyDescent="0.2"/>
    <row r="29" spans="1:13" ht="12.95" customHeight="1" x14ac:dyDescent="0.2"/>
    <row r="30" spans="1:13" ht="12.95" customHeight="1" x14ac:dyDescent="0.2"/>
    <row r="31" spans="1:13" ht="12.95" customHeight="1" x14ac:dyDescent="0.2"/>
    <row r="32" spans="1:13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</sheetData>
  <mergeCells count="5">
    <mergeCell ref="E1:G1"/>
    <mergeCell ref="J1:M1"/>
    <mergeCell ref="E2:G2"/>
    <mergeCell ref="H17:M17"/>
    <mergeCell ref="H19:M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C9773-6B34-4B2A-89B0-B5FF57ECD63B}">
  <sheetPr>
    <tabColor rgb="FFFFC000"/>
  </sheetPr>
  <dimension ref="A1:O73"/>
  <sheetViews>
    <sheetView zoomScale="60" zoomScaleNormal="60" workbookViewId="0">
      <selection activeCell="M23" sqref="M23"/>
    </sheetView>
  </sheetViews>
  <sheetFormatPr defaultColWidth="9.85546875" defaultRowHeight="15" x14ac:dyDescent="0.2"/>
  <cols>
    <col min="1" max="1" width="19.28515625" style="8" customWidth="1"/>
    <col min="2" max="2" width="16.85546875" style="8" customWidth="1"/>
    <col min="3" max="3" width="15.42578125" style="8" customWidth="1"/>
    <col min="4" max="4" width="16.140625" style="1" customWidth="1"/>
    <col min="5" max="5" width="14.5703125" style="9" customWidth="1"/>
    <col min="6" max="6" width="27.7109375" style="9" bestFit="1" customWidth="1"/>
    <col min="7" max="7" width="32.42578125" style="10" customWidth="1"/>
    <col min="8" max="8" width="71.28515625" style="1" customWidth="1"/>
    <col min="9" max="9" width="13" style="1" customWidth="1"/>
    <col min="10" max="10" width="12.85546875" style="1" customWidth="1"/>
    <col min="11" max="11" width="13" style="1" customWidth="1"/>
    <col min="12" max="12" width="14.42578125" style="11" customWidth="1"/>
    <col min="13" max="13" width="13.42578125" style="11" customWidth="1"/>
    <col min="14" max="14" width="6.28515625" style="1" customWidth="1"/>
    <col min="15" max="15" width="13.140625" style="1" bestFit="1" customWidth="1"/>
    <col min="16" max="16384" width="9.85546875" style="1"/>
  </cols>
  <sheetData>
    <row r="1" spans="1:15" s="2" customFormat="1" ht="31.5" x14ac:dyDescent="0.2">
      <c r="A1" s="7"/>
      <c r="B1" s="5" t="s">
        <v>0</v>
      </c>
      <c r="C1" s="25" t="s">
        <v>26</v>
      </c>
      <c r="D1" s="6" t="s">
        <v>1</v>
      </c>
      <c r="E1" s="304"/>
      <c r="F1" s="305"/>
      <c r="G1" s="306"/>
      <c r="H1" s="4" t="s">
        <v>2</v>
      </c>
      <c r="I1" s="4"/>
      <c r="J1" s="307" t="s">
        <v>36</v>
      </c>
      <c r="K1" s="307"/>
      <c r="L1" s="307"/>
      <c r="M1" s="307"/>
    </row>
    <row r="2" spans="1:15" ht="61.5" x14ac:dyDescent="0.25">
      <c r="A2" s="49"/>
      <c r="B2" s="6" t="s">
        <v>3</v>
      </c>
      <c r="C2" s="82" t="s">
        <v>171</v>
      </c>
      <c r="D2" s="6" t="s">
        <v>4</v>
      </c>
      <c r="E2" s="304" t="s">
        <v>27</v>
      </c>
      <c r="F2" s="305"/>
      <c r="G2" s="306"/>
      <c r="H2" s="3"/>
      <c r="I2" s="3"/>
      <c r="J2" s="3"/>
      <c r="K2" s="3"/>
      <c r="L2" s="13" t="s">
        <v>5</v>
      </c>
      <c r="M2" s="26" t="s">
        <v>25</v>
      </c>
    </row>
    <row r="3" spans="1:15" s="12" customFormat="1" ht="63" x14ac:dyDescent="0.2">
      <c r="A3" s="50" t="s">
        <v>6</v>
      </c>
      <c r="B3" s="50" t="s">
        <v>7</v>
      </c>
      <c r="C3" s="50" t="s">
        <v>8</v>
      </c>
      <c r="D3" s="14" t="s">
        <v>9</v>
      </c>
      <c r="E3" s="50" t="s">
        <v>10</v>
      </c>
      <c r="F3" s="51" t="s">
        <v>11</v>
      </c>
      <c r="G3" s="51" t="s">
        <v>12</v>
      </c>
      <c r="H3" s="52" t="s">
        <v>13</v>
      </c>
      <c r="I3" s="53" t="s">
        <v>14</v>
      </c>
      <c r="J3" s="53" t="s">
        <v>15</v>
      </c>
      <c r="K3" s="52" t="s">
        <v>16</v>
      </c>
      <c r="L3" s="53" t="s">
        <v>17</v>
      </c>
      <c r="M3" s="53" t="s">
        <v>18</v>
      </c>
    </row>
    <row r="4" spans="1:15" ht="15" customHeight="1" x14ac:dyDescent="0.25">
      <c r="A4" s="35">
        <v>45504</v>
      </c>
      <c r="B4" s="35"/>
      <c r="C4" s="35"/>
      <c r="D4" s="36"/>
      <c r="E4" s="75"/>
      <c r="F4" s="75"/>
      <c r="G4" s="38"/>
      <c r="H4" s="39" t="s">
        <v>19</v>
      </c>
      <c r="I4" s="39">
        <v>50419.93</v>
      </c>
      <c r="J4" s="39"/>
      <c r="K4" s="39"/>
      <c r="L4" s="41">
        <f>I4</f>
        <v>50419.93</v>
      </c>
      <c r="M4" s="41">
        <v>0</v>
      </c>
    </row>
    <row r="5" spans="1:15" ht="60.75" customHeight="1" x14ac:dyDescent="0.25">
      <c r="A5" s="54">
        <v>45476</v>
      </c>
      <c r="B5" s="54">
        <v>45476</v>
      </c>
      <c r="C5" s="54">
        <v>45538</v>
      </c>
      <c r="D5" s="102" t="s">
        <v>30</v>
      </c>
      <c r="E5" s="103" t="s">
        <v>78</v>
      </c>
      <c r="F5" s="104" t="s">
        <v>172</v>
      </c>
      <c r="G5" s="105" t="s">
        <v>31</v>
      </c>
      <c r="H5" s="106" t="s">
        <v>173</v>
      </c>
      <c r="I5" s="59"/>
      <c r="J5" s="107">
        <v>3900.07</v>
      </c>
      <c r="K5" s="59"/>
      <c r="L5" s="61"/>
      <c r="M5" s="110">
        <f>J5</f>
        <v>3900.07</v>
      </c>
      <c r="N5" s="1" t="s">
        <v>40</v>
      </c>
      <c r="O5" s="1" t="s">
        <v>47</v>
      </c>
    </row>
    <row r="6" spans="1:15" ht="30.75" x14ac:dyDescent="0.25">
      <c r="A6" s="91">
        <v>45526</v>
      </c>
      <c r="B6" s="91">
        <v>45526</v>
      </c>
      <c r="C6" s="91">
        <v>45541</v>
      </c>
      <c r="D6" s="88" t="s">
        <v>30</v>
      </c>
      <c r="E6" s="108" t="s">
        <v>107</v>
      </c>
      <c r="F6" s="109" t="s">
        <v>174</v>
      </c>
      <c r="G6" s="95" t="s">
        <v>156</v>
      </c>
      <c r="H6" s="69" t="s">
        <v>175</v>
      </c>
      <c r="I6" s="94"/>
      <c r="J6" s="76">
        <v>900</v>
      </c>
      <c r="K6" s="94"/>
      <c r="L6" s="67"/>
      <c r="M6" s="111">
        <f t="shared" ref="M6:M12" si="0">J6</f>
        <v>900</v>
      </c>
      <c r="N6" s="1" t="s">
        <v>41</v>
      </c>
      <c r="O6" s="1" t="s">
        <v>47</v>
      </c>
    </row>
    <row r="7" spans="1:15" ht="60.75" x14ac:dyDescent="0.25">
      <c r="A7" s="91">
        <v>45532</v>
      </c>
      <c r="B7" s="91">
        <v>45532</v>
      </c>
      <c r="C7" s="91">
        <v>45583</v>
      </c>
      <c r="D7" s="88" t="s">
        <v>30</v>
      </c>
      <c r="E7" s="108" t="s">
        <v>78</v>
      </c>
      <c r="F7" s="108" t="s">
        <v>176</v>
      </c>
      <c r="G7" s="90" t="s">
        <v>45</v>
      </c>
      <c r="H7" s="69" t="s">
        <v>177</v>
      </c>
      <c r="I7" s="94"/>
      <c r="J7" s="76">
        <v>122.85</v>
      </c>
      <c r="K7" s="94"/>
      <c r="L7" s="67"/>
      <c r="M7" s="111">
        <f t="shared" si="0"/>
        <v>122.85</v>
      </c>
      <c r="N7" s="1" t="s">
        <v>42</v>
      </c>
      <c r="O7" s="1" t="s">
        <v>47</v>
      </c>
    </row>
    <row r="8" spans="1:15" ht="45.75" x14ac:dyDescent="0.25">
      <c r="A8" s="91">
        <v>45532</v>
      </c>
      <c r="B8" s="91">
        <v>45532</v>
      </c>
      <c r="C8" s="91">
        <v>45558</v>
      </c>
      <c r="D8" s="88" t="s">
        <v>30</v>
      </c>
      <c r="E8" s="108" t="s">
        <v>78</v>
      </c>
      <c r="F8" s="108" t="s">
        <v>176</v>
      </c>
      <c r="G8" s="90" t="s">
        <v>45</v>
      </c>
      <c r="H8" s="69" t="s">
        <v>178</v>
      </c>
      <c r="I8" s="94"/>
      <c r="J8" s="76">
        <v>86.4</v>
      </c>
      <c r="K8" s="94"/>
      <c r="L8" s="67"/>
      <c r="M8" s="111">
        <f t="shared" si="0"/>
        <v>86.4</v>
      </c>
      <c r="N8" s="1" t="s">
        <v>43</v>
      </c>
      <c r="O8" s="1" t="s">
        <v>47</v>
      </c>
    </row>
    <row r="9" spans="1:15" ht="60" x14ac:dyDescent="0.2">
      <c r="A9" s="62">
        <v>45554</v>
      </c>
      <c r="B9" s="62">
        <v>45554</v>
      </c>
      <c r="C9" s="62">
        <v>45558</v>
      </c>
      <c r="D9" s="88" t="s">
        <v>30</v>
      </c>
      <c r="E9" s="108" t="s">
        <v>78</v>
      </c>
      <c r="F9" s="108" t="s">
        <v>176</v>
      </c>
      <c r="G9" s="90" t="s">
        <v>45</v>
      </c>
      <c r="H9" s="69" t="s">
        <v>179</v>
      </c>
      <c r="I9" s="66"/>
      <c r="J9" s="66">
        <v>35.85</v>
      </c>
      <c r="K9" s="66"/>
      <c r="L9" s="67"/>
      <c r="M9" s="111">
        <f t="shared" si="0"/>
        <v>35.85</v>
      </c>
      <c r="N9" s="1" t="s">
        <v>52</v>
      </c>
      <c r="O9" s="1" t="s">
        <v>47</v>
      </c>
    </row>
    <row r="10" spans="1:15" ht="30" x14ac:dyDescent="0.2">
      <c r="A10" s="62">
        <v>45537</v>
      </c>
      <c r="B10" s="62">
        <v>45566</v>
      </c>
      <c r="C10" s="62">
        <v>45568</v>
      </c>
      <c r="D10" s="88" t="s">
        <v>30</v>
      </c>
      <c r="E10" s="108" t="s">
        <v>78</v>
      </c>
      <c r="F10" s="108" t="s">
        <v>180</v>
      </c>
      <c r="G10" s="90" t="s">
        <v>45</v>
      </c>
      <c r="H10" s="69" t="s">
        <v>181</v>
      </c>
      <c r="I10" s="66"/>
      <c r="J10" s="76">
        <v>35.1</v>
      </c>
      <c r="K10" s="66"/>
      <c r="L10" s="67"/>
      <c r="M10" s="111">
        <f t="shared" si="0"/>
        <v>35.1</v>
      </c>
      <c r="N10" s="1" t="s">
        <v>54</v>
      </c>
      <c r="O10" s="1" t="s">
        <v>47</v>
      </c>
    </row>
    <row r="11" spans="1:15" ht="15" customHeight="1" x14ac:dyDescent="0.2">
      <c r="A11" s="62">
        <v>45534</v>
      </c>
      <c r="B11" s="62"/>
      <c r="C11" s="62">
        <v>45534</v>
      </c>
      <c r="D11" s="63" t="s">
        <v>30</v>
      </c>
      <c r="E11" s="108" t="s">
        <v>68</v>
      </c>
      <c r="F11" s="108" t="s">
        <v>182</v>
      </c>
      <c r="G11" s="65" t="s">
        <v>45</v>
      </c>
      <c r="H11" s="69" t="s">
        <v>183</v>
      </c>
      <c r="I11" s="66"/>
      <c r="J11" s="66">
        <v>828.29</v>
      </c>
      <c r="K11" s="66"/>
      <c r="L11" s="67"/>
      <c r="M11" s="111">
        <f t="shared" si="0"/>
        <v>828.29</v>
      </c>
      <c r="N11" s="1" t="s">
        <v>56</v>
      </c>
      <c r="O11" s="1" t="s">
        <v>47</v>
      </c>
    </row>
    <row r="12" spans="1:15" ht="15" customHeight="1" x14ac:dyDescent="0.2">
      <c r="A12" s="62">
        <v>45565</v>
      </c>
      <c r="B12" s="62"/>
      <c r="C12" s="62">
        <v>45565</v>
      </c>
      <c r="D12" s="63" t="s">
        <v>30</v>
      </c>
      <c r="E12" s="108" t="s">
        <v>68</v>
      </c>
      <c r="F12" s="108" t="s">
        <v>182</v>
      </c>
      <c r="G12" s="65" t="s">
        <v>45</v>
      </c>
      <c r="H12" s="69" t="s">
        <v>184</v>
      </c>
      <c r="I12" s="66"/>
      <c r="J12" s="76">
        <v>869.7</v>
      </c>
      <c r="K12" s="66"/>
      <c r="L12" s="67"/>
      <c r="M12" s="67">
        <f t="shared" si="0"/>
        <v>869.7</v>
      </c>
      <c r="N12" s="1" t="s">
        <v>58</v>
      </c>
      <c r="O12" s="1" t="s">
        <v>47</v>
      </c>
    </row>
    <row r="13" spans="1:15" ht="15" customHeight="1" x14ac:dyDescent="0.25">
      <c r="A13" s="75">
        <v>45291</v>
      </c>
      <c r="B13" s="75"/>
      <c r="C13" s="75">
        <v>45291</v>
      </c>
      <c r="D13" s="36"/>
      <c r="E13" s="70" t="s">
        <v>33</v>
      </c>
      <c r="F13" s="71" t="s">
        <v>34</v>
      </c>
      <c r="G13" s="44" t="s">
        <v>28</v>
      </c>
      <c r="H13" s="48" t="s">
        <v>35</v>
      </c>
      <c r="I13" s="86"/>
      <c r="J13" s="87">
        <f>SUM(J5:J12)*7%</f>
        <v>474.47820000000007</v>
      </c>
      <c r="K13" s="86"/>
      <c r="L13" s="41"/>
      <c r="M13" s="41">
        <f>J13</f>
        <v>474.47820000000007</v>
      </c>
    </row>
    <row r="14" spans="1:15" ht="18" customHeight="1" x14ac:dyDescent="0.2">
      <c r="A14" s="3"/>
      <c r="B14" s="3"/>
      <c r="C14" s="3"/>
      <c r="D14" s="3"/>
      <c r="E14" s="3"/>
      <c r="F14" s="15"/>
      <c r="G14" s="16"/>
      <c r="H14" s="19" t="s">
        <v>20</v>
      </c>
      <c r="I14" s="19"/>
      <c r="J14" s="19"/>
      <c r="K14" s="19"/>
      <c r="L14" s="72">
        <f>SUM(L4:L13)</f>
        <v>50419.93</v>
      </c>
      <c r="M14" s="73">
        <f>SUM(M4:M13)</f>
        <v>7252.7382000000007</v>
      </c>
      <c r="N14" s="1" t="s">
        <v>64</v>
      </c>
      <c r="O14" s="1" t="s">
        <v>167</v>
      </c>
    </row>
    <row r="15" spans="1:15" ht="18" customHeight="1" x14ac:dyDescent="0.25">
      <c r="A15" s="3"/>
      <c r="B15" s="3"/>
      <c r="C15" s="3"/>
      <c r="D15" s="3"/>
      <c r="E15" s="3"/>
      <c r="F15" s="15"/>
      <c r="G15" s="16"/>
      <c r="H15" s="20" t="s">
        <v>21</v>
      </c>
      <c r="I15" s="20"/>
      <c r="J15" s="20"/>
      <c r="K15" s="19"/>
      <c r="L15" s="21" t="str">
        <f>IF(L14&lt;=M14,M14-L14,"")</f>
        <v/>
      </c>
      <c r="M15" s="21">
        <f>IF(M14&gt;=L14,"",L14-M14)</f>
        <v>43167.191800000001</v>
      </c>
      <c r="N15" s="11"/>
    </row>
    <row r="16" spans="1:15" ht="18" customHeight="1" thickBot="1" x14ac:dyDescent="0.25">
      <c r="A16" s="3"/>
      <c r="B16" s="3"/>
      <c r="C16" s="3"/>
      <c r="D16" s="3"/>
      <c r="E16" s="3"/>
      <c r="F16" s="15"/>
      <c r="G16" s="16"/>
      <c r="H16" s="19" t="s">
        <v>22</v>
      </c>
      <c r="I16" s="19"/>
      <c r="J16" s="19"/>
      <c r="K16" s="19"/>
      <c r="L16" s="22">
        <f>SUM(L14:L15)</f>
        <v>50419.93</v>
      </c>
      <c r="M16" s="22">
        <f>SUM(M14:M15)</f>
        <v>50419.93</v>
      </c>
    </row>
    <row r="17" spans="1:14" ht="12.95" customHeight="1" thickTop="1" x14ac:dyDescent="0.2">
      <c r="A17" s="3"/>
      <c r="B17" s="3"/>
      <c r="C17" s="3"/>
      <c r="D17" s="3"/>
      <c r="E17" s="3"/>
      <c r="F17" s="15"/>
      <c r="G17" s="16"/>
      <c r="H17" s="3"/>
      <c r="I17" s="3"/>
      <c r="J17" s="3"/>
      <c r="K17" s="3"/>
      <c r="L17" s="23"/>
      <c r="M17" s="23"/>
    </row>
    <row r="18" spans="1:14" ht="24.95" customHeight="1" x14ac:dyDescent="0.2">
      <c r="A18" s="3"/>
      <c r="B18" s="3"/>
      <c r="C18" s="3"/>
      <c r="D18" s="3"/>
      <c r="E18" s="3"/>
      <c r="F18" s="17"/>
      <c r="G18" s="24" t="s">
        <v>23</v>
      </c>
      <c r="H18" s="308"/>
      <c r="I18" s="309"/>
      <c r="J18" s="309"/>
      <c r="K18" s="309"/>
      <c r="L18" s="309"/>
      <c r="M18" s="310"/>
    </row>
    <row r="19" spans="1:14" ht="12.95" customHeight="1" x14ac:dyDescent="0.2">
      <c r="A19" s="3"/>
      <c r="B19" s="3"/>
      <c r="C19" s="3"/>
      <c r="D19" s="3"/>
      <c r="E19" s="3"/>
      <c r="F19" s="15"/>
      <c r="G19" s="18"/>
      <c r="H19" s="3"/>
      <c r="I19" s="3"/>
      <c r="J19" s="3"/>
      <c r="K19" s="3"/>
      <c r="L19" s="23"/>
      <c r="M19" s="23"/>
    </row>
    <row r="20" spans="1:14" ht="24.95" customHeight="1" x14ac:dyDescent="0.2">
      <c r="A20" s="3"/>
      <c r="B20" s="3"/>
      <c r="C20" s="3"/>
      <c r="D20" s="3"/>
      <c r="E20" s="3"/>
      <c r="F20" s="17"/>
      <c r="G20" s="24" t="s">
        <v>24</v>
      </c>
      <c r="H20" s="311"/>
      <c r="I20" s="312"/>
      <c r="J20" s="312"/>
      <c r="K20" s="312"/>
      <c r="L20" s="312"/>
      <c r="M20" s="313"/>
    </row>
    <row r="21" spans="1:14" ht="12.95" customHeight="1" x14ac:dyDescent="0.2"/>
    <row r="22" spans="1:14" ht="12.95" customHeight="1" x14ac:dyDescent="0.2"/>
    <row r="23" spans="1:14" ht="12.95" customHeight="1" x14ac:dyDescent="0.2">
      <c r="I23" s="1" t="s">
        <v>168</v>
      </c>
      <c r="J23" s="1">
        <v>527.20000000000005</v>
      </c>
      <c r="M23" s="11">
        <v>7305.45</v>
      </c>
      <c r="N23" s="1" t="s">
        <v>169</v>
      </c>
    </row>
    <row r="24" spans="1:14" ht="12.95" customHeight="1" x14ac:dyDescent="0.2"/>
    <row r="25" spans="1:14" ht="12.95" customHeight="1" x14ac:dyDescent="0.2">
      <c r="J25" s="101">
        <f>J23-J13</f>
        <v>52.721799999999973</v>
      </c>
      <c r="M25" s="11">
        <f>M23-M14</f>
        <v>52.71179999999913</v>
      </c>
      <c r="N25" s="1" t="s">
        <v>170</v>
      </c>
    </row>
    <row r="26" spans="1:14" ht="12.95" customHeight="1" x14ac:dyDescent="0.2"/>
    <row r="27" spans="1:14" ht="12.95" customHeight="1" x14ac:dyDescent="0.2"/>
    <row r="28" spans="1:14" ht="12.95" customHeight="1" x14ac:dyDescent="0.2"/>
    <row r="29" spans="1:14" ht="12.95" customHeight="1" x14ac:dyDescent="0.2"/>
    <row r="30" spans="1:14" ht="12.95" customHeight="1" x14ac:dyDescent="0.2"/>
    <row r="31" spans="1:14" ht="12.95" customHeight="1" x14ac:dyDescent="0.2"/>
    <row r="32" spans="1:14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</sheetData>
  <mergeCells count="5">
    <mergeCell ref="E1:G1"/>
    <mergeCell ref="J1:M1"/>
    <mergeCell ref="E2:G2"/>
    <mergeCell ref="H18:M18"/>
    <mergeCell ref="H20:M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BE56C-4CE6-4507-8B72-84AB47E1FE24}">
  <sheetPr>
    <tabColor rgb="FFFFC000"/>
  </sheetPr>
  <dimension ref="A1:O90"/>
  <sheetViews>
    <sheetView zoomScale="60" zoomScaleNormal="60" workbookViewId="0">
      <pane ySplit="3" topLeftCell="A19" activePane="bottomLeft" state="frozen"/>
      <selection pane="bottomLeft" activeCell="M29" sqref="M29"/>
    </sheetView>
  </sheetViews>
  <sheetFormatPr defaultColWidth="9.85546875" defaultRowHeight="15" x14ac:dyDescent="0.2"/>
  <cols>
    <col min="1" max="1" width="12.85546875" style="8" customWidth="1"/>
    <col min="2" max="2" width="16.85546875" style="8" customWidth="1"/>
    <col min="3" max="3" width="15.42578125" style="8" customWidth="1"/>
    <col min="4" max="4" width="16.140625" style="1" customWidth="1"/>
    <col min="5" max="5" width="14.5703125" style="9" customWidth="1"/>
    <col min="6" max="6" width="27.7109375" style="9" bestFit="1" customWidth="1"/>
    <col min="7" max="7" width="32.42578125" style="10" customWidth="1"/>
    <col min="8" max="8" width="71.28515625" style="1" customWidth="1"/>
    <col min="9" max="9" width="13" style="1" customWidth="1"/>
    <col min="10" max="10" width="12.85546875" style="1" customWidth="1"/>
    <col min="11" max="11" width="13" style="1" customWidth="1"/>
    <col min="12" max="12" width="14.42578125" style="11" customWidth="1"/>
    <col min="13" max="13" width="13.42578125" style="11" customWidth="1"/>
    <col min="14" max="14" width="6.28515625" style="1" customWidth="1"/>
    <col min="15" max="15" width="13.140625" style="1" bestFit="1" customWidth="1"/>
    <col min="16" max="16384" width="9.85546875" style="1"/>
  </cols>
  <sheetData>
    <row r="1" spans="1:15" s="2" customFormat="1" ht="31.5" x14ac:dyDescent="0.2">
      <c r="A1" s="7"/>
      <c r="B1" s="5" t="s">
        <v>0</v>
      </c>
      <c r="C1" s="25" t="s">
        <v>26</v>
      </c>
      <c r="D1" s="6" t="s">
        <v>1</v>
      </c>
      <c r="E1" s="304"/>
      <c r="F1" s="305"/>
      <c r="G1" s="306"/>
      <c r="H1" s="4" t="s">
        <v>2</v>
      </c>
      <c r="I1" s="4"/>
      <c r="J1" s="307" t="s">
        <v>36</v>
      </c>
      <c r="K1" s="307"/>
      <c r="L1" s="307"/>
      <c r="M1" s="307"/>
    </row>
    <row r="2" spans="1:15" ht="61.5" x14ac:dyDescent="0.25">
      <c r="A2" s="49"/>
      <c r="B2" s="6" t="s">
        <v>3</v>
      </c>
      <c r="C2" s="82" t="s">
        <v>116</v>
      </c>
      <c r="D2" s="6" t="s">
        <v>4</v>
      </c>
      <c r="E2" s="304" t="s">
        <v>27</v>
      </c>
      <c r="F2" s="305"/>
      <c r="G2" s="306"/>
      <c r="H2" s="3"/>
      <c r="I2" s="3"/>
      <c r="J2" s="3"/>
      <c r="K2" s="3"/>
      <c r="L2" s="13" t="s">
        <v>5</v>
      </c>
      <c r="M2" s="26" t="s">
        <v>25</v>
      </c>
    </row>
    <row r="3" spans="1:15" s="12" customFormat="1" ht="63" x14ac:dyDescent="0.2">
      <c r="A3" s="50" t="s">
        <v>6</v>
      </c>
      <c r="B3" s="50" t="s">
        <v>7</v>
      </c>
      <c r="C3" s="50" t="s">
        <v>8</v>
      </c>
      <c r="D3" s="14" t="s">
        <v>9</v>
      </c>
      <c r="E3" s="50" t="s">
        <v>10</v>
      </c>
      <c r="F3" s="51" t="s">
        <v>11</v>
      </c>
      <c r="G3" s="51" t="s">
        <v>12</v>
      </c>
      <c r="H3" s="52" t="s">
        <v>13</v>
      </c>
      <c r="I3" s="53" t="s">
        <v>14</v>
      </c>
      <c r="J3" s="53" t="s">
        <v>15</v>
      </c>
      <c r="K3" s="52" t="s">
        <v>16</v>
      </c>
      <c r="L3" s="53" t="s">
        <v>17</v>
      </c>
      <c r="M3" s="53" t="s">
        <v>18</v>
      </c>
    </row>
    <row r="4" spans="1:15" ht="15" customHeight="1" x14ac:dyDescent="0.25">
      <c r="A4" s="35">
        <v>45291</v>
      </c>
      <c r="B4" s="35"/>
      <c r="C4" s="35"/>
      <c r="D4" s="36"/>
      <c r="E4" s="75"/>
      <c r="F4" s="75"/>
      <c r="G4" s="38"/>
      <c r="H4" s="39" t="s">
        <v>19</v>
      </c>
      <c r="I4" s="39">
        <v>63782.18</v>
      </c>
      <c r="J4" s="39"/>
      <c r="K4" s="39"/>
      <c r="L4" s="41">
        <f>I4</f>
        <v>63782.18</v>
      </c>
      <c r="M4" s="41">
        <v>0</v>
      </c>
    </row>
    <row r="5" spans="1:15" ht="30" x14ac:dyDescent="0.2">
      <c r="A5" s="62">
        <v>45305</v>
      </c>
      <c r="B5" s="62">
        <v>45305</v>
      </c>
      <c r="C5" s="62">
        <v>45321</v>
      </c>
      <c r="D5" s="88" t="s">
        <v>30</v>
      </c>
      <c r="E5" s="89" t="s">
        <v>78</v>
      </c>
      <c r="F5" s="89" t="s">
        <v>100</v>
      </c>
      <c r="G5" s="90" t="s">
        <v>45</v>
      </c>
      <c r="H5" s="69" t="s">
        <v>117</v>
      </c>
      <c r="I5" s="66"/>
      <c r="J5" s="66">
        <v>34.44</v>
      </c>
      <c r="K5" s="66"/>
      <c r="L5" s="67"/>
      <c r="M5" s="67">
        <f t="shared" ref="M5" si="0">J5</f>
        <v>34.44</v>
      </c>
      <c r="N5" s="1" t="s">
        <v>40</v>
      </c>
      <c r="O5" s="1" t="s">
        <v>47</v>
      </c>
    </row>
    <row r="6" spans="1:15" ht="50.25" customHeight="1" x14ac:dyDescent="0.25">
      <c r="A6" s="91">
        <v>45321</v>
      </c>
      <c r="B6" s="91">
        <v>45321</v>
      </c>
      <c r="C6" s="91">
        <v>45373</v>
      </c>
      <c r="D6" s="88" t="s">
        <v>30</v>
      </c>
      <c r="E6" s="92" t="s">
        <v>78</v>
      </c>
      <c r="F6" s="92" t="s">
        <v>100</v>
      </c>
      <c r="G6" s="93" t="s">
        <v>31</v>
      </c>
      <c r="H6" s="69" t="s">
        <v>118</v>
      </c>
      <c r="I6" s="94"/>
      <c r="J6" s="76">
        <v>211.5</v>
      </c>
      <c r="K6" s="94"/>
      <c r="L6" s="67"/>
      <c r="M6" s="67">
        <f>J6</f>
        <v>211.5</v>
      </c>
      <c r="N6" s="1" t="s">
        <v>41</v>
      </c>
      <c r="O6" s="1" t="s">
        <v>47</v>
      </c>
    </row>
    <row r="7" spans="1:15" ht="45.75" x14ac:dyDescent="0.25">
      <c r="A7" s="91">
        <v>45330</v>
      </c>
      <c r="B7" s="91">
        <v>45330</v>
      </c>
      <c r="C7" s="91">
        <v>45344</v>
      </c>
      <c r="D7" s="88" t="s">
        <v>30</v>
      </c>
      <c r="E7" s="89" t="s">
        <v>107</v>
      </c>
      <c r="F7" s="89" t="s">
        <v>119</v>
      </c>
      <c r="G7" s="95" t="s">
        <v>120</v>
      </c>
      <c r="H7" s="69" t="s">
        <v>121</v>
      </c>
      <c r="I7" s="94"/>
      <c r="J7" s="76">
        <v>3510</v>
      </c>
      <c r="K7" s="94"/>
      <c r="L7" s="67"/>
      <c r="M7" s="67">
        <f t="shared" ref="M7:M29" si="1">J7</f>
        <v>3510</v>
      </c>
      <c r="N7" s="1" t="s">
        <v>42</v>
      </c>
      <c r="O7" s="1" t="s">
        <v>47</v>
      </c>
    </row>
    <row r="8" spans="1:15" ht="61.5" thickBot="1" x14ac:dyDescent="0.3">
      <c r="A8" s="91">
        <v>45331</v>
      </c>
      <c r="B8" s="91">
        <v>45331</v>
      </c>
      <c r="C8" s="91">
        <v>45376</v>
      </c>
      <c r="D8" s="88" t="s">
        <v>30</v>
      </c>
      <c r="E8" s="96" t="s">
        <v>78</v>
      </c>
      <c r="F8" s="96" t="s">
        <v>100</v>
      </c>
      <c r="G8" s="93" t="s">
        <v>31</v>
      </c>
      <c r="H8" s="69" t="s">
        <v>122</v>
      </c>
      <c r="I8" s="94"/>
      <c r="J8" s="76">
        <v>1191.5</v>
      </c>
      <c r="K8" s="94"/>
      <c r="L8" s="67"/>
      <c r="M8" s="67">
        <f t="shared" si="1"/>
        <v>1191.5</v>
      </c>
      <c r="N8" s="1" t="s">
        <v>43</v>
      </c>
      <c r="O8" s="1" t="s">
        <v>47</v>
      </c>
    </row>
    <row r="9" spans="1:15" ht="60.75" x14ac:dyDescent="0.25">
      <c r="A9" s="91">
        <v>45338</v>
      </c>
      <c r="B9" s="91">
        <v>45338</v>
      </c>
      <c r="C9" s="91">
        <v>45376</v>
      </c>
      <c r="D9" s="88" t="s">
        <v>30</v>
      </c>
      <c r="E9" s="97" t="s">
        <v>78</v>
      </c>
      <c r="F9" s="97" t="s">
        <v>100</v>
      </c>
      <c r="G9" s="93" t="s">
        <v>31</v>
      </c>
      <c r="H9" s="69" t="s">
        <v>123</v>
      </c>
      <c r="I9" s="94"/>
      <c r="J9" s="76">
        <v>1452.6</v>
      </c>
      <c r="K9" s="94"/>
      <c r="L9" s="67"/>
      <c r="M9" s="67">
        <f t="shared" si="1"/>
        <v>1452.6</v>
      </c>
      <c r="N9" s="1" t="s">
        <v>52</v>
      </c>
      <c r="O9" s="1" t="s">
        <v>47</v>
      </c>
    </row>
    <row r="10" spans="1:15" ht="30.75" x14ac:dyDescent="0.25">
      <c r="A10" s="62">
        <v>45317</v>
      </c>
      <c r="B10" s="62">
        <v>45317</v>
      </c>
      <c r="C10" s="62">
        <v>45342</v>
      </c>
      <c r="D10" s="88" t="s">
        <v>30</v>
      </c>
      <c r="E10" s="89" t="s">
        <v>107</v>
      </c>
      <c r="F10" s="89" t="s">
        <v>119</v>
      </c>
      <c r="G10" s="90" t="s">
        <v>45</v>
      </c>
      <c r="H10" s="69" t="s">
        <v>124</v>
      </c>
      <c r="I10" s="66"/>
      <c r="J10" s="66">
        <v>43.18</v>
      </c>
      <c r="K10" s="94"/>
      <c r="L10" s="67"/>
      <c r="M10" s="67">
        <f t="shared" si="1"/>
        <v>43.18</v>
      </c>
      <c r="N10" s="1" t="s">
        <v>54</v>
      </c>
      <c r="O10" s="1" t="s">
        <v>47</v>
      </c>
    </row>
    <row r="11" spans="1:15" ht="30.75" x14ac:dyDescent="0.25">
      <c r="A11" s="62">
        <v>45351</v>
      </c>
      <c r="B11" s="62">
        <v>45351</v>
      </c>
      <c r="C11" s="62">
        <v>45376</v>
      </c>
      <c r="D11" s="88" t="s">
        <v>30</v>
      </c>
      <c r="E11" s="89" t="s">
        <v>107</v>
      </c>
      <c r="F11" s="89" t="s">
        <v>125</v>
      </c>
      <c r="G11" s="90" t="s">
        <v>96</v>
      </c>
      <c r="H11" s="69" t="s">
        <v>126</v>
      </c>
      <c r="I11" s="94"/>
      <c r="J11" s="76">
        <v>902.72</v>
      </c>
      <c r="K11" s="94"/>
      <c r="L11" s="67"/>
      <c r="M11" s="67">
        <f t="shared" si="1"/>
        <v>902.72</v>
      </c>
      <c r="N11" s="1" t="s">
        <v>56</v>
      </c>
      <c r="O11" s="1" t="s">
        <v>47</v>
      </c>
    </row>
    <row r="12" spans="1:15" ht="31.5" customHeight="1" x14ac:dyDescent="0.25">
      <c r="A12" s="62">
        <v>45382</v>
      </c>
      <c r="B12" s="62">
        <v>45382</v>
      </c>
      <c r="C12" s="62">
        <v>45392</v>
      </c>
      <c r="D12" s="88" t="s">
        <v>30</v>
      </c>
      <c r="E12" s="89" t="s">
        <v>127</v>
      </c>
      <c r="F12" s="89" t="s">
        <v>128</v>
      </c>
      <c r="G12" s="90" t="s">
        <v>45</v>
      </c>
      <c r="H12" s="69" t="s">
        <v>129</v>
      </c>
      <c r="I12" s="94"/>
      <c r="J12" s="76">
        <v>84.61</v>
      </c>
      <c r="K12" s="94"/>
      <c r="L12" s="67"/>
      <c r="M12" s="67">
        <f t="shared" si="1"/>
        <v>84.61</v>
      </c>
      <c r="N12" s="1" t="s">
        <v>58</v>
      </c>
      <c r="O12" s="1" t="s">
        <v>47</v>
      </c>
    </row>
    <row r="13" spans="1:15" ht="30" customHeight="1" x14ac:dyDescent="0.25">
      <c r="A13" s="91">
        <v>45357</v>
      </c>
      <c r="B13" s="91">
        <v>45357</v>
      </c>
      <c r="C13" s="91">
        <v>45390</v>
      </c>
      <c r="D13" s="88" t="s">
        <v>30</v>
      </c>
      <c r="E13" s="98" t="s">
        <v>78</v>
      </c>
      <c r="F13" s="98" t="s">
        <v>130</v>
      </c>
      <c r="G13" s="93" t="s">
        <v>31</v>
      </c>
      <c r="H13" s="69" t="s">
        <v>131</v>
      </c>
      <c r="I13" s="94"/>
      <c r="J13" s="76">
        <v>53.1</v>
      </c>
      <c r="K13" s="94"/>
      <c r="L13" s="67"/>
      <c r="M13" s="67">
        <f t="shared" si="1"/>
        <v>53.1</v>
      </c>
      <c r="N13" s="1" t="s">
        <v>61</v>
      </c>
      <c r="O13" s="1" t="s">
        <v>47</v>
      </c>
    </row>
    <row r="14" spans="1:15" ht="30.75" x14ac:dyDescent="0.25">
      <c r="A14" s="62">
        <v>45354</v>
      </c>
      <c r="B14" s="62">
        <v>45354</v>
      </c>
      <c r="C14" s="62">
        <v>45359</v>
      </c>
      <c r="D14" s="88" t="s">
        <v>30</v>
      </c>
      <c r="E14" s="89" t="s">
        <v>78</v>
      </c>
      <c r="F14" s="89" t="s">
        <v>100</v>
      </c>
      <c r="G14" s="90" t="s">
        <v>45</v>
      </c>
      <c r="H14" s="69" t="s">
        <v>132</v>
      </c>
      <c r="I14" s="66"/>
      <c r="J14" s="76">
        <v>31.31</v>
      </c>
      <c r="K14" s="94"/>
      <c r="L14" s="67"/>
      <c r="M14" s="67">
        <f t="shared" si="1"/>
        <v>31.31</v>
      </c>
      <c r="N14" s="1" t="s">
        <v>63</v>
      </c>
      <c r="O14" s="1" t="s">
        <v>47</v>
      </c>
    </row>
    <row r="15" spans="1:15" ht="45.75" x14ac:dyDescent="0.25">
      <c r="A15" s="91">
        <v>45364</v>
      </c>
      <c r="B15" s="91">
        <v>45364</v>
      </c>
      <c r="C15" s="91">
        <v>45379</v>
      </c>
      <c r="D15" s="88" t="s">
        <v>30</v>
      </c>
      <c r="E15" s="99" t="s">
        <v>107</v>
      </c>
      <c r="F15" s="99" t="s">
        <v>133</v>
      </c>
      <c r="G15" s="95" t="s">
        <v>134</v>
      </c>
      <c r="H15" s="69" t="s">
        <v>135</v>
      </c>
      <c r="I15" s="94"/>
      <c r="J15" s="76">
        <v>2291.54</v>
      </c>
      <c r="K15" s="94"/>
      <c r="L15" s="67"/>
      <c r="M15" s="67">
        <f t="shared" si="1"/>
        <v>2291.54</v>
      </c>
      <c r="N15" s="1" t="s">
        <v>104</v>
      </c>
      <c r="O15" s="1" t="s">
        <v>47</v>
      </c>
    </row>
    <row r="16" spans="1:15" ht="45.75" customHeight="1" x14ac:dyDescent="0.25">
      <c r="A16" s="91">
        <v>45365</v>
      </c>
      <c r="B16" s="91">
        <v>45365</v>
      </c>
      <c r="C16" s="91">
        <v>45392</v>
      </c>
      <c r="D16" s="88" t="s">
        <v>30</v>
      </c>
      <c r="E16" s="98" t="s">
        <v>78</v>
      </c>
      <c r="F16" s="89" t="s">
        <v>136</v>
      </c>
      <c r="G16" s="90" t="s">
        <v>45</v>
      </c>
      <c r="H16" s="69" t="s">
        <v>137</v>
      </c>
      <c r="I16" s="94"/>
      <c r="J16" s="76">
        <v>193.68</v>
      </c>
      <c r="K16" s="94"/>
      <c r="L16" s="67"/>
      <c r="M16" s="67">
        <f t="shared" si="1"/>
        <v>193.68</v>
      </c>
      <c r="N16" s="1" t="s">
        <v>106</v>
      </c>
      <c r="O16" s="1" t="s">
        <v>47</v>
      </c>
    </row>
    <row r="17" spans="1:15" ht="47.25" customHeight="1" x14ac:dyDescent="0.25">
      <c r="A17" s="91">
        <v>45365</v>
      </c>
      <c r="B17" s="91">
        <v>45365</v>
      </c>
      <c r="C17" s="91">
        <v>45376</v>
      </c>
      <c r="D17" s="88" t="s">
        <v>30</v>
      </c>
      <c r="E17" s="98" t="s">
        <v>78</v>
      </c>
      <c r="F17" s="89" t="s">
        <v>138</v>
      </c>
      <c r="G17" s="90" t="s">
        <v>45</v>
      </c>
      <c r="H17" s="69" t="s">
        <v>139</v>
      </c>
      <c r="I17" s="94"/>
      <c r="J17" s="76">
        <v>124.2</v>
      </c>
      <c r="K17" s="94"/>
      <c r="L17" s="67"/>
      <c r="M17" s="67">
        <f t="shared" si="1"/>
        <v>124.2</v>
      </c>
      <c r="N17" s="1" t="s">
        <v>111</v>
      </c>
      <c r="O17" s="1" t="s">
        <v>47</v>
      </c>
    </row>
    <row r="18" spans="1:15" ht="30.75" x14ac:dyDescent="0.25">
      <c r="A18" s="62">
        <v>45385</v>
      </c>
      <c r="B18" s="62">
        <v>45385</v>
      </c>
      <c r="C18" s="62">
        <v>45443</v>
      </c>
      <c r="D18" s="88" t="s">
        <v>30</v>
      </c>
      <c r="E18" s="98" t="s">
        <v>78</v>
      </c>
      <c r="F18" s="89" t="s">
        <v>79</v>
      </c>
      <c r="G18" s="90" t="s">
        <v>89</v>
      </c>
      <c r="H18" s="69" t="s">
        <v>140</v>
      </c>
      <c r="I18" s="66"/>
      <c r="J18" s="76">
        <v>112.81</v>
      </c>
      <c r="K18" s="94"/>
      <c r="L18" s="67"/>
      <c r="M18" s="67">
        <f t="shared" si="1"/>
        <v>112.81</v>
      </c>
      <c r="N18" s="1" t="s">
        <v>113</v>
      </c>
      <c r="O18" s="1" t="s">
        <v>47</v>
      </c>
    </row>
    <row r="19" spans="1:15" ht="46.5" thickBot="1" x14ac:dyDescent="0.3">
      <c r="A19" s="62">
        <v>45396</v>
      </c>
      <c r="B19" s="62">
        <v>45396</v>
      </c>
      <c r="C19" s="62">
        <v>45406</v>
      </c>
      <c r="D19" s="88" t="s">
        <v>30</v>
      </c>
      <c r="E19" s="89" t="s">
        <v>78</v>
      </c>
      <c r="F19" s="89" t="s">
        <v>100</v>
      </c>
      <c r="G19" s="90" t="s">
        <v>45</v>
      </c>
      <c r="H19" s="69" t="s">
        <v>141</v>
      </c>
      <c r="I19" s="94"/>
      <c r="J19" s="76">
        <v>25.5</v>
      </c>
      <c r="K19" s="94"/>
      <c r="L19" s="67"/>
      <c r="M19" s="67">
        <f t="shared" si="1"/>
        <v>25.5</v>
      </c>
      <c r="N19" s="1" t="s">
        <v>115</v>
      </c>
      <c r="O19" s="1" t="s">
        <v>47</v>
      </c>
    </row>
    <row r="20" spans="1:15" ht="31.5" thickBot="1" x14ac:dyDescent="0.3">
      <c r="A20" s="62">
        <v>45412</v>
      </c>
      <c r="B20" s="62">
        <v>45412</v>
      </c>
      <c r="C20" s="62">
        <v>45477</v>
      </c>
      <c r="D20" s="88" t="s">
        <v>30</v>
      </c>
      <c r="E20" s="83" t="s">
        <v>78</v>
      </c>
      <c r="F20" s="153" t="s">
        <v>79</v>
      </c>
      <c r="G20" s="90" t="s">
        <v>89</v>
      </c>
      <c r="H20" s="69" t="s">
        <v>142</v>
      </c>
      <c r="I20" s="94"/>
      <c r="J20" s="76">
        <v>109.6</v>
      </c>
      <c r="K20" s="94"/>
      <c r="L20" s="67"/>
      <c r="M20" s="67">
        <f t="shared" si="1"/>
        <v>109.6</v>
      </c>
      <c r="N20" s="1" t="s">
        <v>143</v>
      </c>
      <c r="O20" s="1" t="s">
        <v>47</v>
      </c>
    </row>
    <row r="21" spans="1:15" ht="32.25" customHeight="1" thickBot="1" x14ac:dyDescent="0.3">
      <c r="A21" s="62">
        <v>45473</v>
      </c>
      <c r="B21" s="62">
        <v>45473</v>
      </c>
      <c r="C21" s="62">
        <v>45483</v>
      </c>
      <c r="D21" s="88" t="s">
        <v>30</v>
      </c>
      <c r="E21" s="83" t="s">
        <v>78</v>
      </c>
      <c r="F21" s="153" t="s">
        <v>79</v>
      </c>
      <c r="G21" s="90" t="s">
        <v>45</v>
      </c>
      <c r="H21" s="69" t="s">
        <v>144</v>
      </c>
      <c r="I21" s="94"/>
      <c r="J21" s="76">
        <v>20.11</v>
      </c>
      <c r="K21" s="94"/>
      <c r="L21" s="67"/>
      <c r="M21" s="67">
        <f t="shared" si="1"/>
        <v>20.11</v>
      </c>
      <c r="N21" s="1" t="s">
        <v>145</v>
      </c>
      <c r="O21" s="1" t="s">
        <v>47</v>
      </c>
    </row>
    <row r="22" spans="1:15" ht="48.75" customHeight="1" thickBot="1" x14ac:dyDescent="0.3">
      <c r="A22" s="91">
        <v>45437</v>
      </c>
      <c r="B22" s="91">
        <v>45437</v>
      </c>
      <c r="C22" s="91">
        <v>45470</v>
      </c>
      <c r="D22" s="88" t="s">
        <v>30</v>
      </c>
      <c r="E22" s="85" t="s">
        <v>78</v>
      </c>
      <c r="F22" s="85" t="s">
        <v>100</v>
      </c>
      <c r="G22" s="90" t="s">
        <v>45</v>
      </c>
      <c r="H22" s="69" t="s">
        <v>146</v>
      </c>
      <c r="I22" s="94"/>
      <c r="J22" s="76">
        <v>86.4</v>
      </c>
      <c r="K22" s="94"/>
      <c r="L22" s="67"/>
      <c r="M22" s="67">
        <f t="shared" si="1"/>
        <v>86.4</v>
      </c>
      <c r="N22" s="1" t="s">
        <v>147</v>
      </c>
      <c r="O22" s="1" t="s">
        <v>47</v>
      </c>
    </row>
    <row r="23" spans="1:15" ht="61.5" thickBot="1" x14ac:dyDescent="0.3">
      <c r="A23" s="91">
        <v>45437</v>
      </c>
      <c r="B23" s="91">
        <v>45437</v>
      </c>
      <c r="C23" s="91">
        <v>45462</v>
      </c>
      <c r="D23" s="88" t="s">
        <v>30</v>
      </c>
      <c r="E23" s="85" t="s">
        <v>78</v>
      </c>
      <c r="F23" s="85" t="s">
        <v>100</v>
      </c>
      <c r="G23" s="90" t="s">
        <v>45</v>
      </c>
      <c r="H23" s="69" t="s">
        <v>148</v>
      </c>
      <c r="I23" s="94"/>
      <c r="J23" s="76">
        <v>86.4</v>
      </c>
      <c r="K23" s="94"/>
      <c r="L23" s="67"/>
      <c r="M23" s="67">
        <f t="shared" si="1"/>
        <v>86.4</v>
      </c>
      <c r="N23" s="1" t="s">
        <v>149</v>
      </c>
      <c r="O23" s="1" t="s">
        <v>47</v>
      </c>
    </row>
    <row r="24" spans="1:15" ht="60.75" x14ac:dyDescent="0.25">
      <c r="A24" s="91">
        <v>45437</v>
      </c>
      <c r="B24" s="91">
        <v>45437</v>
      </c>
      <c r="C24" s="91">
        <v>45483</v>
      </c>
      <c r="D24" s="88" t="s">
        <v>30</v>
      </c>
      <c r="E24" s="97" t="s">
        <v>78</v>
      </c>
      <c r="F24" s="97" t="s">
        <v>100</v>
      </c>
      <c r="G24" s="90" t="s">
        <v>45</v>
      </c>
      <c r="H24" s="69" t="s">
        <v>150</v>
      </c>
      <c r="I24" s="94"/>
      <c r="J24" s="76">
        <v>182.88</v>
      </c>
      <c r="K24" s="94"/>
      <c r="L24" s="67"/>
      <c r="M24" s="67">
        <f t="shared" si="1"/>
        <v>182.88</v>
      </c>
      <c r="N24" s="1" t="s">
        <v>151</v>
      </c>
      <c r="O24" s="1" t="s">
        <v>47</v>
      </c>
    </row>
    <row r="25" spans="1:15" ht="30.75" x14ac:dyDescent="0.25">
      <c r="A25" s="91">
        <v>45443</v>
      </c>
      <c r="B25" s="91">
        <v>45443</v>
      </c>
      <c r="C25" s="91">
        <v>45488</v>
      </c>
      <c r="D25" s="88" t="s">
        <v>30</v>
      </c>
      <c r="E25" s="89" t="s">
        <v>107</v>
      </c>
      <c r="F25" s="89" t="s">
        <v>133</v>
      </c>
      <c r="G25" s="95" t="s">
        <v>152</v>
      </c>
      <c r="H25" s="69" t="s">
        <v>153</v>
      </c>
      <c r="I25" s="94"/>
      <c r="J25" s="76">
        <v>384.3</v>
      </c>
      <c r="K25" s="94"/>
      <c r="L25" s="67"/>
      <c r="M25" s="67">
        <f t="shared" si="1"/>
        <v>384.3</v>
      </c>
      <c r="N25" s="1" t="s">
        <v>154</v>
      </c>
      <c r="O25" s="1" t="s">
        <v>47</v>
      </c>
    </row>
    <row r="26" spans="1:15" ht="30.75" x14ac:dyDescent="0.25">
      <c r="A26" s="91">
        <v>45454</v>
      </c>
      <c r="B26" s="91">
        <v>45454</v>
      </c>
      <c r="C26" s="91">
        <v>45483</v>
      </c>
      <c r="D26" s="88" t="s">
        <v>30</v>
      </c>
      <c r="E26" s="89" t="s">
        <v>127</v>
      </c>
      <c r="F26" s="89" t="s">
        <v>155</v>
      </c>
      <c r="G26" s="95" t="s">
        <v>156</v>
      </c>
      <c r="H26" s="69" t="s">
        <v>157</v>
      </c>
      <c r="I26" s="94"/>
      <c r="J26" s="76">
        <v>900</v>
      </c>
      <c r="K26" s="94"/>
      <c r="L26" s="67"/>
      <c r="M26" s="67">
        <f t="shared" si="1"/>
        <v>900</v>
      </c>
      <c r="N26" s="1" t="s">
        <v>158</v>
      </c>
      <c r="O26" s="1" t="s">
        <v>47</v>
      </c>
    </row>
    <row r="27" spans="1:15" ht="30.75" x14ac:dyDescent="0.25">
      <c r="A27" s="91">
        <v>45454</v>
      </c>
      <c r="B27" s="91">
        <v>45454</v>
      </c>
      <c r="C27" s="91">
        <v>45483</v>
      </c>
      <c r="D27" s="88" t="s">
        <v>30</v>
      </c>
      <c r="E27" s="89" t="s">
        <v>159</v>
      </c>
      <c r="F27" s="89" t="s">
        <v>108</v>
      </c>
      <c r="G27" s="95" t="s">
        <v>156</v>
      </c>
      <c r="H27" s="69" t="s">
        <v>160</v>
      </c>
      <c r="I27" s="94"/>
      <c r="J27" s="76">
        <v>64.650000000000006</v>
      </c>
      <c r="K27" s="94"/>
      <c r="L27" s="67"/>
      <c r="M27" s="67">
        <f t="shared" si="1"/>
        <v>64.650000000000006</v>
      </c>
      <c r="N27" s="1" t="s">
        <v>161</v>
      </c>
      <c r="O27" s="1" t="s">
        <v>47</v>
      </c>
    </row>
    <row r="28" spans="1:15" ht="45.75" x14ac:dyDescent="0.25">
      <c r="A28" s="62">
        <v>45440</v>
      </c>
      <c r="B28" s="62">
        <v>45440</v>
      </c>
      <c r="C28" s="62">
        <v>45468</v>
      </c>
      <c r="D28" s="88" t="s">
        <v>30</v>
      </c>
      <c r="E28" s="89" t="s">
        <v>107</v>
      </c>
      <c r="F28" s="89" t="s">
        <v>133</v>
      </c>
      <c r="G28" s="90" t="s">
        <v>45</v>
      </c>
      <c r="H28" s="69" t="s">
        <v>162</v>
      </c>
      <c r="I28" s="94"/>
      <c r="J28" s="76">
        <v>253.44</v>
      </c>
      <c r="K28" s="94"/>
      <c r="L28" s="67"/>
      <c r="M28" s="67">
        <f t="shared" si="1"/>
        <v>253.44</v>
      </c>
      <c r="N28" s="1" t="s">
        <v>163</v>
      </c>
      <c r="O28" s="1" t="s">
        <v>47</v>
      </c>
    </row>
    <row r="29" spans="1:15" ht="30.75" x14ac:dyDescent="0.25">
      <c r="A29" s="91">
        <v>45478</v>
      </c>
      <c r="B29" s="91">
        <v>45478</v>
      </c>
      <c r="C29" s="91">
        <v>45502</v>
      </c>
      <c r="D29" s="88" t="s">
        <v>30</v>
      </c>
      <c r="E29" s="89" t="s">
        <v>127</v>
      </c>
      <c r="F29" s="89" t="s">
        <v>164</v>
      </c>
      <c r="G29" s="95" t="s">
        <v>156</v>
      </c>
      <c r="H29" s="69" t="s">
        <v>165</v>
      </c>
      <c r="I29" s="94"/>
      <c r="J29" s="76">
        <v>137.61000000000001</v>
      </c>
      <c r="K29" s="94"/>
      <c r="L29" s="67"/>
      <c r="M29" s="67">
        <f t="shared" si="1"/>
        <v>137.61000000000001</v>
      </c>
      <c r="N29" s="1" t="s">
        <v>166</v>
      </c>
      <c r="O29" s="1" t="s">
        <v>47</v>
      </c>
    </row>
    <row r="30" spans="1:15" ht="15" customHeight="1" x14ac:dyDescent="0.25">
      <c r="A30" s="75">
        <v>45291</v>
      </c>
      <c r="B30" s="75"/>
      <c r="C30" s="75">
        <v>45291</v>
      </c>
      <c r="D30" s="36"/>
      <c r="E30" s="100" t="s">
        <v>33</v>
      </c>
      <c r="F30" s="154" t="s">
        <v>34</v>
      </c>
      <c r="G30" s="44" t="s">
        <v>28</v>
      </c>
      <c r="H30" s="48" t="s">
        <v>35</v>
      </c>
      <c r="I30" s="86"/>
      <c r="J30" s="87">
        <f>SUM(J5:J29)*7%</f>
        <v>874.16560000000015</v>
      </c>
      <c r="K30" s="86"/>
      <c r="L30" s="41"/>
      <c r="M30" s="41">
        <f>J30</f>
        <v>874.16560000000015</v>
      </c>
    </row>
    <row r="31" spans="1:15" ht="18" customHeight="1" x14ac:dyDescent="0.2">
      <c r="A31" s="3"/>
      <c r="B31" s="3"/>
      <c r="C31" s="3"/>
      <c r="D31" s="3"/>
      <c r="E31" s="3"/>
      <c r="F31" s="15"/>
      <c r="G31" s="16"/>
      <c r="H31" s="19" t="s">
        <v>20</v>
      </c>
      <c r="I31" s="19"/>
      <c r="J31" s="19"/>
      <c r="K31" s="19"/>
      <c r="L31" s="72">
        <f>SUM(L4:L30)</f>
        <v>63782.18</v>
      </c>
      <c r="M31" s="73">
        <f>SUM(M4:M30)</f>
        <v>13362.245600000002</v>
      </c>
      <c r="N31" s="1" t="s">
        <v>64</v>
      </c>
      <c r="O31" s="1" t="s">
        <v>167</v>
      </c>
    </row>
    <row r="32" spans="1:15" ht="18" customHeight="1" x14ac:dyDescent="0.25">
      <c r="A32" s="3"/>
      <c r="B32" s="3"/>
      <c r="C32" s="3"/>
      <c r="D32" s="3"/>
      <c r="E32" s="3"/>
      <c r="F32" s="15"/>
      <c r="G32" s="16"/>
      <c r="H32" s="20" t="s">
        <v>21</v>
      </c>
      <c r="I32" s="20"/>
      <c r="J32" s="20"/>
      <c r="K32" s="19"/>
      <c r="L32" s="21" t="str">
        <f>IF(L31&lt;=M31,M31-L31,"")</f>
        <v/>
      </c>
      <c r="M32" s="21">
        <f>IF(M31&gt;=L31,"",L31-M31)</f>
        <v>50419.934399999998</v>
      </c>
      <c r="N32" s="11"/>
    </row>
    <row r="33" spans="1:14" ht="18" customHeight="1" thickBot="1" x14ac:dyDescent="0.25">
      <c r="A33" s="3"/>
      <c r="B33" s="3"/>
      <c r="C33" s="3"/>
      <c r="D33" s="3"/>
      <c r="E33" s="3"/>
      <c r="F33" s="15"/>
      <c r="G33" s="16"/>
      <c r="H33" s="19" t="s">
        <v>22</v>
      </c>
      <c r="I33" s="19"/>
      <c r="J33" s="19"/>
      <c r="K33" s="19"/>
      <c r="L33" s="22">
        <f>SUM(L31:L32)</f>
        <v>63782.18</v>
      </c>
      <c r="M33" s="22">
        <f>SUM(M31:M32)</f>
        <v>63782.18</v>
      </c>
    </row>
    <row r="34" spans="1:14" ht="12.95" customHeight="1" thickTop="1" x14ac:dyDescent="0.2">
      <c r="A34" s="3"/>
      <c r="B34" s="3"/>
      <c r="C34" s="3"/>
      <c r="D34" s="3"/>
      <c r="E34" s="3"/>
      <c r="F34" s="15"/>
      <c r="G34" s="16"/>
      <c r="H34" s="3"/>
      <c r="I34" s="3"/>
      <c r="J34" s="3"/>
      <c r="K34" s="3"/>
      <c r="L34" s="23"/>
      <c r="M34" s="23"/>
    </row>
    <row r="35" spans="1:14" ht="24.95" customHeight="1" x14ac:dyDescent="0.2">
      <c r="A35" s="3"/>
      <c r="B35" s="3"/>
      <c r="C35" s="3"/>
      <c r="D35" s="3"/>
      <c r="E35" s="3"/>
      <c r="F35" s="17"/>
      <c r="G35" s="24" t="s">
        <v>23</v>
      </c>
      <c r="H35" s="308"/>
      <c r="I35" s="309"/>
      <c r="J35" s="309"/>
      <c r="K35" s="309"/>
      <c r="L35" s="309"/>
      <c r="M35" s="310"/>
    </row>
    <row r="36" spans="1:14" ht="12.95" customHeight="1" x14ac:dyDescent="0.2">
      <c r="A36" s="3"/>
      <c r="B36" s="3"/>
      <c r="C36" s="3"/>
      <c r="D36" s="3"/>
      <c r="E36" s="3"/>
      <c r="F36" s="15"/>
      <c r="G36" s="18"/>
      <c r="H36" s="3"/>
      <c r="I36" s="3"/>
      <c r="J36" s="3"/>
      <c r="K36" s="3"/>
      <c r="L36" s="23"/>
      <c r="M36" s="23"/>
    </row>
    <row r="37" spans="1:14" ht="24.95" customHeight="1" x14ac:dyDescent="0.2">
      <c r="A37" s="3"/>
      <c r="B37" s="3"/>
      <c r="C37" s="3"/>
      <c r="D37" s="3"/>
      <c r="E37" s="3"/>
      <c r="F37" s="17"/>
      <c r="G37" s="24" t="s">
        <v>24</v>
      </c>
      <c r="H37" s="311"/>
      <c r="I37" s="312"/>
      <c r="J37" s="312"/>
      <c r="K37" s="312"/>
      <c r="L37" s="312"/>
      <c r="M37" s="313"/>
    </row>
    <row r="38" spans="1:14" ht="12.95" customHeight="1" x14ac:dyDescent="0.2"/>
    <row r="39" spans="1:14" ht="12.95" customHeight="1" x14ac:dyDescent="0.2"/>
    <row r="40" spans="1:14" ht="12.95" customHeight="1" x14ac:dyDescent="0.2"/>
    <row r="41" spans="1:14" ht="12.95" customHeight="1" x14ac:dyDescent="0.2">
      <c r="I41" s="1" t="s">
        <v>168</v>
      </c>
      <c r="J41" s="1">
        <v>971.3</v>
      </c>
      <c r="M41" s="11">
        <v>13459.38</v>
      </c>
      <c r="N41" s="1" t="s">
        <v>169</v>
      </c>
    </row>
    <row r="42" spans="1:14" ht="12.95" customHeight="1" x14ac:dyDescent="0.2"/>
    <row r="43" spans="1:14" ht="12.95" customHeight="1" x14ac:dyDescent="0.2">
      <c r="J43" s="101">
        <f>J41-J30</f>
        <v>97.1343999999998</v>
      </c>
      <c r="M43" s="11">
        <f>M41-M31</f>
        <v>97.134399999997186</v>
      </c>
      <c r="N43" s="1" t="s">
        <v>170</v>
      </c>
    </row>
    <row r="44" spans="1:14" ht="12.95" customHeight="1" x14ac:dyDescent="0.2"/>
    <row r="45" spans="1:14" ht="12.95" customHeight="1" x14ac:dyDescent="0.2"/>
    <row r="46" spans="1:14" ht="12.95" customHeight="1" x14ac:dyDescent="0.2"/>
    <row r="47" spans="1:14" ht="12.95" customHeight="1" x14ac:dyDescent="0.2"/>
    <row r="48" spans="1:14" ht="12.95" customHeight="1" x14ac:dyDescent="0.2"/>
    <row r="49" spans="6:6" ht="12.95" customHeight="1" x14ac:dyDescent="0.2">
      <c r="F49" s="101"/>
    </row>
    <row r="50" spans="6:6" ht="12.95" customHeight="1" x14ac:dyDescent="0.2"/>
    <row r="51" spans="6:6" ht="12.95" customHeight="1" x14ac:dyDescent="0.2">
      <c r="F51" s="101"/>
    </row>
    <row r="52" spans="6:6" ht="12.95" customHeight="1" x14ac:dyDescent="0.2"/>
    <row r="53" spans="6:6" ht="12.95" customHeight="1" x14ac:dyDescent="0.2"/>
    <row r="54" spans="6:6" ht="12.95" customHeight="1" x14ac:dyDescent="0.2"/>
    <row r="55" spans="6:6" ht="12.95" customHeight="1" x14ac:dyDescent="0.2"/>
    <row r="56" spans="6:6" ht="12.95" customHeight="1" x14ac:dyDescent="0.2"/>
    <row r="57" spans="6:6" ht="12.95" customHeight="1" x14ac:dyDescent="0.2"/>
    <row r="58" spans="6:6" ht="12.95" customHeight="1" x14ac:dyDescent="0.2"/>
    <row r="59" spans="6:6" ht="12.95" customHeight="1" x14ac:dyDescent="0.2"/>
    <row r="60" spans="6:6" ht="12.95" customHeight="1" x14ac:dyDescent="0.2"/>
    <row r="61" spans="6:6" ht="12.95" customHeight="1" x14ac:dyDescent="0.2"/>
    <row r="62" spans="6:6" ht="12.95" customHeight="1" x14ac:dyDescent="0.2"/>
    <row r="63" spans="6:6" ht="12.95" customHeight="1" x14ac:dyDescent="0.2"/>
    <row r="64" spans="6:6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</sheetData>
  <mergeCells count="5">
    <mergeCell ref="E1:G1"/>
    <mergeCell ref="J1:M1"/>
    <mergeCell ref="E2:G2"/>
    <mergeCell ref="H35:M35"/>
    <mergeCell ref="H37:M37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41F6A-412E-4459-A28F-D55B3204E051}">
  <dimension ref="A1:O81"/>
  <sheetViews>
    <sheetView zoomScale="60" zoomScaleNormal="60" workbookViewId="0">
      <selection activeCell="E5" sqref="E5:E11"/>
    </sheetView>
  </sheetViews>
  <sheetFormatPr defaultColWidth="9.85546875" defaultRowHeight="15" x14ac:dyDescent="0.2"/>
  <cols>
    <col min="1" max="1" width="12.85546875" style="8" customWidth="1"/>
    <col min="2" max="2" width="20.28515625" style="8" customWidth="1"/>
    <col min="3" max="3" width="14" style="8" customWidth="1"/>
    <col min="4" max="4" width="16.140625" style="1" customWidth="1"/>
    <col min="5" max="5" width="14.5703125" style="9" customWidth="1"/>
    <col min="6" max="6" width="27.7109375" style="9" bestFit="1" customWidth="1"/>
    <col min="7" max="7" width="32.42578125" style="10" customWidth="1"/>
    <col min="8" max="8" width="69.5703125" style="1" bestFit="1" customWidth="1"/>
    <col min="9" max="9" width="13" style="1" customWidth="1"/>
    <col min="10" max="10" width="12.85546875" style="1" customWidth="1"/>
    <col min="11" max="11" width="13" style="1" customWidth="1"/>
    <col min="12" max="12" width="15.7109375" style="11" customWidth="1"/>
    <col min="13" max="13" width="13.42578125" style="11" customWidth="1"/>
    <col min="14" max="14" width="6.28515625" style="1" customWidth="1"/>
    <col min="15" max="15" width="13.140625" style="1" bestFit="1" customWidth="1"/>
    <col min="16" max="16384" width="9.85546875" style="1"/>
  </cols>
  <sheetData>
    <row r="1" spans="1:15" s="2" customFormat="1" ht="31.5" x14ac:dyDescent="0.2">
      <c r="A1" s="7"/>
      <c r="B1" s="5" t="s">
        <v>0</v>
      </c>
      <c r="C1" s="25" t="s">
        <v>26</v>
      </c>
      <c r="D1" s="6" t="s">
        <v>1</v>
      </c>
      <c r="E1" s="304"/>
      <c r="F1" s="305"/>
      <c r="G1" s="306"/>
      <c r="H1" s="4" t="s">
        <v>2</v>
      </c>
      <c r="I1" s="4"/>
      <c r="J1" s="307" t="s">
        <v>36</v>
      </c>
      <c r="K1" s="307"/>
      <c r="L1" s="307"/>
      <c r="M1" s="307"/>
    </row>
    <row r="2" spans="1:15" ht="61.5" x14ac:dyDescent="0.25">
      <c r="A2" s="49"/>
      <c r="B2" s="6" t="s">
        <v>3</v>
      </c>
      <c r="C2" s="82" t="s">
        <v>84</v>
      </c>
      <c r="D2" s="6" t="s">
        <v>4</v>
      </c>
      <c r="E2" s="304" t="s">
        <v>27</v>
      </c>
      <c r="F2" s="305"/>
      <c r="G2" s="306"/>
      <c r="H2" s="3"/>
      <c r="I2" s="3"/>
      <c r="J2" s="3"/>
      <c r="K2" s="3"/>
      <c r="L2" s="13" t="s">
        <v>5</v>
      </c>
      <c r="M2" s="26" t="s">
        <v>25</v>
      </c>
    </row>
    <row r="3" spans="1:15" s="12" customFormat="1" ht="63" x14ac:dyDescent="0.2">
      <c r="A3" s="50" t="s">
        <v>6</v>
      </c>
      <c r="B3" s="50" t="s">
        <v>7</v>
      </c>
      <c r="C3" s="50" t="s">
        <v>8</v>
      </c>
      <c r="D3" s="14" t="s">
        <v>9</v>
      </c>
      <c r="E3" s="50" t="s">
        <v>10</v>
      </c>
      <c r="F3" s="51" t="s">
        <v>11</v>
      </c>
      <c r="G3" s="51" t="s">
        <v>12</v>
      </c>
      <c r="H3" s="52" t="s">
        <v>13</v>
      </c>
      <c r="I3" s="53" t="s">
        <v>14</v>
      </c>
      <c r="J3" s="53" t="s">
        <v>15</v>
      </c>
      <c r="K3" s="52" t="s">
        <v>16</v>
      </c>
      <c r="L3" s="53" t="s">
        <v>17</v>
      </c>
      <c r="M3" s="53" t="s">
        <v>18</v>
      </c>
    </row>
    <row r="4" spans="1:15" ht="15" customHeight="1" thickBot="1" x14ac:dyDescent="0.3">
      <c r="A4" s="35">
        <v>45199</v>
      </c>
      <c r="B4" s="35"/>
      <c r="C4" s="35"/>
      <c r="D4" s="36"/>
      <c r="E4" s="75"/>
      <c r="F4" s="75"/>
      <c r="G4" s="38"/>
      <c r="H4" s="39" t="s">
        <v>19</v>
      </c>
      <c r="I4" s="39">
        <f>70411.81</f>
        <v>70411.81</v>
      </c>
      <c r="J4" s="39"/>
      <c r="K4" s="39"/>
      <c r="L4" s="41">
        <f>I4</f>
        <v>70411.81</v>
      </c>
      <c r="M4" s="41">
        <v>0</v>
      </c>
    </row>
    <row r="5" spans="1:15" ht="15" customHeight="1" thickBot="1" x14ac:dyDescent="0.25">
      <c r="A5" s="62">
        <v>45230</v>
      </c>
      <c r="B5" s="62"/>
      <c r="C5" s="62">
        <v>45230</v>
      </c>
      <c r="D5" s="63" t="s">
        <v>30</v>
      </c>
      <c r="E5" s="83" t="s">
        <v>68</v>
      </c>
      <c r="F5" s="153" t="s">
        <v>69</v>
      </c>
      <c r="G5" s="65" t="s">
        <v>45</v>
      </c>
      <c r="H5" s="69" t="s">
        <v>85</v>
      </c>
      <c r="I5" s="66"/>
      <c r="J5" s="66">
        <v>435.48</v>
      </c>
      <c r="K5" s="66"/>
      <c r="L5" s="67"/>
      <c r="M5" s="67">
        <f>J5</f>
        <v>435.48</v>
      </c>
      <c r="N5" s="1" t="s">
        <v>40</v>
      </c>
      <c r="O5" s="1" t="s">
        <v>47</v>
      </c>
    </row>
    <row r="6" spans="1:15" ht="15" customHeight="1" thickBot="1" x14ac:dyDescent="0.25">
      <c r="A6" s="62"/>
      <c r="B6" s="62"/>
      <c r="C6" s="62"/>
      <c r="D6" s="63"/>
      <c r="E6" s="83" t="s">
        <v>68</v>
      </c>
      <c r="F6" s="153"/>
      <c r="G6" s="65" t="s">
        <v>45</v>
      </c>
      <c r="H6" s="69" t="s">
        <v>86</v>
      </c>
      <c r="I6" s="66"/>
      <c r="J6" s="66">
        <v>128.09</v>
      </c>
      <c r="K6" s="66"/>
      <c r="L6" s="67"/>
      <c r="M6" s="67">
        <f>J6</f>
        <v>128.09</v>
      </c>
      <c r="N6" s="1" t="s">
        <v>40</v>
      </c>
      <c r="O6" s="1" t="s">
        <v>47</v>
      </c>
    </row>
    <row r="7" spans="1:15" ht="15" customHeight="1" thickBot="1" x14ac:dyDescent="0.25">
      <c r="A7" s="62">
        <v>45260</v>
      </c>
      <c r="B7" s="62"/>
      <c r="C7" s="62">
        <v>45260</v>
      </c>
      <c r="D7" s="63" t="s">
        <v>30</v>
      </c>
      <c r="E7" s="83" t="s">
        <v>68</v>
      </c>
      <c r="F7" s="153" t="s">
        <v>72</v>
      </c>
      <c r="G7" s="65" t="s">
        <v>45</v>
      </c>
      <c r="H7" s="69" t="s">
        <v>87</v>
      </c>
      <c r="I7" s="66"/>
      <c r="J7" s="66">
        <v>563.57000000000005</v>
      </c>
      <c r="K7" s="66"/>
      <c r="L7" s="67"/>
      <c r="M7" s="67">
        <f t="shared" ref="M7:M20" si="0">J7</f>
        <v>563.57000000000005</v>
      </c>
      <c r="N7" s="1" t="s">
        <v>41</v>
      </c>
      <c r="O7" s="1" t="s">
        <v>47</v>
      </c>
    </row>
    <row r="8" spans="1:15" ht="15" customHeight="1" thickBot="1" x14ac:dyDescent="0.25">
      <c r="A8" s="62">
        <v>45288</v>
      </c>
      <c r="B8" s="62"/>
      <c r="C8" s="62">
        <v>45288</v>
      </c>
      <c r="D8" s="63" t="s">
        <v>30</v>
      </c>
      <c r="E8" s="83" t="s">
        <v>68</v>
      </c>
      <c r="F8" s="153" t="s">
        <v>75</v>
      </c>
      <c r="G8" s="65" t="s">
        <v>45</v>
      </c>
      <c r="H8" s="69" t="s">
        <v>88</v>
      </c>
      <c r="I8" s="66"/>
      <c r="J8" s="66">
        <v>563.55999999999995</v>
      </c>
      <c r="K8" s="66"/>
      <c r="L8" s="67"/>
      <c r="M8" s="67">
        <f t="shared" si="0"/>
        <v>563.55999999999995</v>
      </c>
      <c r="N8" s="1" t="s">
        <v>42</v>
      </c>
      <c r="O8" s="1" t="s">
        <v>47</v>
      </c>
    </row>
    <row r="9" spans="1:15" ht="30.75" thickBot="1" x14ac:dyDescent="0.25">
      <c r="A9" s="62">
        <v>45175</v>
      </c>
      <c r="B9" s="62">
        <v>45175</v>
      </c>
      <c r="C9" s="62">
        <v>45211</v>
      </c>
      <c r="D9" s="63" t="s">
        <v>30</v>
      </c>
      <c r="E9" s="83" t="s">
        <v>78</v>
      </c>
      <c r="F9" s="153" t="s">
        <v>79</v>
      </c>
      <c r="G9" s="65" t="s">
        <v>89</v>
      </c>
      <c r="H9" s="69" t="s">
        <v>90</v>
      </c>
      <c r="I9" s="66"/>
      <c r="J9" s="66">
        <v>215.53</v>
      </c>
      <c r="K9" s="66"/>
      <c r="L9" s="67"/>
      <c r="M9" s="67">
        <f t="shared" si="0"/>
        <v>215.53</v>
      </c>
      <c r="N9" s="1" t="s">
        <v>43</v>
      </c>
      <c r="O9" s="1" t="s">
        <v>47</v>
      </c>
    </row>
    <row r="10" spans="1:15" ht="30.75" thickBot="1" x14ac:dyDescent="0.25">
      <c r="A10" s="62">
        <v>45230</v>
      </c>
      <c r="B10" s="62">
        <v>45175</v>
      </c>
      <c r="C10" s="62">
        <v>45240</v>
      </c>
      <c r="D10" s="63" t="s">
        <v>30</v>
      </c>
      <c r="E10" s="83" t="s">
        <v>78</v>
      </c>
      <c r="F10" s="153" t="s">
        <v>79</v>
      </c>
      <c r="G10" s="65" t="s">
        <v>45</v>
      </c>
      <c r="H10" s="69" t="s">
        <v>91</v>
      </c>
      <c r="I10" s="66"/>
      <c r="J10" s="76">
        <v>61.4</v>
      </c>
      <c r="K10" s="66"/>
      <c r="L10" s="67"/>
      <c r="M10" s="67">
        <f t="shared" si="0"/>
        <v>61.4</v>
      </c>
      <c r="N10" s="1" t="s">
        <v>52</v>
      </c>
      <c r="O10" s="1" t="s">
        <v>47</v>
      </c>
    </row>
    <row r="11" spans="1:15" ht="31.5" customHeight="1" thickBot="1" x14ac:dyDescent="0.25">
      <c r="A11" s="62">
        <v>45200</v>
      </c>
      <c r="B11" s="62">
        <v>45200</v>
      </c>
      <c r="C11" s="62">
        <v>45212</v>
      </c>
      <c r="D11" s="63" t="s">
        <v>30</v>
      </c>
      <c r="E11" s="83" t="s">
        <v>78</v>
      </c>
      <c r="F11" s="153" t="s">
        <v>79</v>
      </c>
      <c r="G11" s="65" t="s">
        <v>45</v>
      </c>
      <c r="H11" s="69" t="s">
        <v>92</v>
      </c>
      <c r="I11" s="66"/>
      <c r="J11" s="66">
        <v>132.26</v>
      </c>
      <c r="K11" s="66"/>
      <c r="L11" s="67"/>
      <c r="M11" s="67">
        <f t="shared" si="0"/>
        <v>132.26</v>
      </c>
      <c r="N11" s="1" t="s">
        <v>54</v>
      </c>
      <c r="O11" s="1" t="s">
        <v>47</v>
      </c>
    </row>
    <row r="12" spans="1:15" ht="45.75" thickBot="1" x14ac:dyDescent="0.25">
      <c r="A12" s="62">
        <v>45230</v>
      </c>
      <c r="B12" s="62">
        <v>45200</v>
      </c>
      <c r="C12" s="62">
        <v>45240</v>
      </c>
      <c r="D12" s="63" t="s">
        <v>30</v>
      </c>
      <c r="E12" s="83" t="s">
        <v>78</v>
      </c>
      <c r="F12" s="153" t="s">
        <v>79</v>
      </c>
      <c r="G12" s="65" t="s">
        <v>45</v>
      </c>
      <c r="H12" s="69" t="s">
        <v>93</v>
      </c>
      <c r="I12" s="66"/>
      <c r="J12" s="66">
        <v>26.95</v>
      </c>
      <c r="K12" s="66"/>
      <c r="L12" s="67"/>
      <c r="M12" s="67">
        <f t="shared" si="0"/>
        <v>26.95</v>
      </c>
      <c r="N12" s="1" t="s">
        <v>56</v>
      </c>
      <c r="O12" s="1" t="s">
        <v>47</v>
      </c>
    </row>
    <row r="13" spans="1:15" ht="30.75" thickBot="1" x14ac:dyDescent="0.25">
      <c r="A13" s="62">
        <v>45244</v>
      </c>
      <c r="B13" s="62">
        <v>45244</v>
      </c>
      <c r="C13" s="62">
        <v>45280</v>
      </c>
      <c r="D13" s="63" t="s">
        <v>30</v>
      </c>
      <c r="E13" s="85" t="s">
        <v>94</v>
      </c>
      <c r="F13" s="153" t="s">
        <v>95</v>
      </c>
      <c r="G13" s="65" t="s">
        <v>96</v>
      </c>
      <c r="H13" s="69" t="s">
        <v>97</v>
      </c>
      <c r="I13" s="66"/>
      <c r="J13" s="76">
        <v>1679.4</v>
      </c>
      <c r="K13" s="66"/>
      <c r="L13" s="67"/>
      <c r="M13" s="67">
        <f t="shared" si="0"/>
        <v>1679.4</v>
      </c>
      <c r="N13" s="1" t="s">
        <v>58</v>
      </c>
      <c r="O13" s="1" t="s">
        <v>47</v>
      </c>
    </row>
    <row r="14" spans="1:15" ht="30.75" thickBot="1" x14ac:dyDescent="0.25">
      <c r="A14" s="62">
        <v>45288</v>
      </c>
      <c r="B14" s="62">
        <v>45244</v>
      </c>
      <c r="C14" s="62">
        <v>45288</v>
      </c>
      <c r="D14" s="63" t="s">
        <v>30</v>
      </c>
      <c r="E14" s="85" t="s">
        <v>78</v>
      </c>
      <c r="F14" s="153" t="s">
        <v>98</v>
      </c>
      <c r="G14" s="65" t="s">
        <v>45</v>
      </c>
      <c r="H14" s="69" t="s">
        <v>99</v>
      </c>
      <c r="I14" s="66"/>
      <c r="J14" s="66">
        <v>26.63</v>
      </c>
      <c r="K14" s="66"/>
      <c r="L14" s="67"/>
      <c r="M14" s="67">
        <f t="shared" si="0"/>
        <v>26.63</v>
      </c>
      <c r="N14" s="1" t="s">
        <v>61</v>
      </c>
      <c r="O14" s="1" t="s">
        <v>47</v>
      </c>
    </row>
    <row r="15" spans="1:15" ht="30.75" thickBot="1" x14ac:dyDescent="0.25">
      <c r="A15" s="62">
        <v>45264</v>
      </c>
      <c r="B15" s="62">
        <v>45264</v>
      </c>
      <c r="C15" s="62">
        <v>45282</v>
      </c>
      <c r="D15" s="63" t="s">
        <v>30</v>
      </c>
      <c r="E15" s="85" t="s">
        <v>78</v>
      </c>
      <c r="F15" s="155" t="s">
        <v>100</v>
      </c>
      <c r="G15" s="65" t="s">
        <v>45</v>
      </c>
      <c r="H15" s="69" t="s">
        <v>101</v>
      </c>
      <c r="I15" s="66"/>
      <c r="J15" s="76">
        <v>10.8</v>
      </c>
      <c r="K15" s="66"/>
      <c r="L15" s="67"/>
      <c r="M15" s="67">
        <f t="shared" si="0"/>
        <v>10.8</v>
      </c>
      <c r="N15" s="1" t="s">
        <v>63</v>
      </c>
      <c r="O15" s="1" t="s">
        <v>47</v>
      </c>
    </row>
    <row r="16" spans="1:15" ht="30.75" thickBot="1" x14ac:dyDescent="0.25">
      <c r="A16" s="62">
        <v>45281</v>
      </c>
      <c r="B16" s="62">
        <v>45281</v>
      </c>
      <c r="C16" s="62">
        <v>45313</v>
      </c>
      <c r="D16" s="63" t="s">
        <v>30</v>
      </c>
      <c r="E16" s="85" t="s">
        <v>102</v>
      </c>
      <c r="F16" s="153" t="s">
        <v>95</v>
      </c>
      <c r="G16" s="65" t="s">
        <v>96</v>
      </c>
      <c r="H16" s="69" t="s">
        <v>103</v>
      </c>
      <c r="I16" s="66"/>
      <c r="J16" s="66">
        <v>1733.22</v>
      </c>
      <c r="K16" s="66"/>
      <c r="L16" s="67"/>
      <c r="M16" s="67">
        <f t="shared" si="0"/>
        <v>1733.22</v>
      </c>
      <c r="N16" s="1" t="s">
        <v>104</v>
      </c>
      <c r="O16" s="1" t="s">
        <v>47</v>
      </c>
    </row>
    <row r="17" spans="1:15" ht="30.75" thickBot="1" x14ac:dyDescent="0.25">
      <c r="A17" s="62">
        <v>45291</v>
      </c>
      <c r="B17" s="62">
        <v>45281</v>
      </c>
      <c r="C17" s="62">
        <v>45320</v>
      </c>
      <c r="D17" s="63" t="s">
        <v>30</v>
      </c>
      <c r="E17" s="85" t="s">
        <v>78</v>
      </c>
      <c r="F17" s="153" t="s">
        <v>95</v>
      </c>
      <c r="G17" s="65" t="s">
        <v>45</v>
      </c>
      <c r="H17" s="69" t="s">
        <v>105</v>
      </c>
      <c r="I17" s="66"/>
      <c r="J17" s="66">
        <v>78.08</v>
      </c>
      <c r="K17" s="66"/>
      <c r="L17" s="67"/>
      <c r="M17" s="67">
        <f t="shared" si="0"/>
        <v>78.08</v>
      </c>
      <c r="N17" s="1" t="s">
        <v>106</v>
      </c>
      <c r="O17" s="1" t="s">
        <v>47</v>
      </c>
    </row>
    <row r="18" spans="1:15" ht="15.75" thickBot="1" x14ac:dyDescent="0.25">
      <c r="A18" s="62">
        <v>45281</v>
      </c>
      <c r="B18" s="62">
        <v>45281</v>
      </c>
      <c r="C18" s="62">
        <v>45296</v>
      </c>
      <c r="D18" s="63" t="s">
        <v>30</v>
      </c>
      <c r="E18" s="85" t="s">
        <v>107</v>
      </c>
      <c r="F18" s="155" t="s">
        <v>108</v>
      </c>
      <c r="G18" s="65" t="s">
        <v>109</v>
      </c>
      <c r="H18" s="69" t="s">
        <v>110</v>
      </c>
      <c r="I18" s="66"/>
      <c r="J18" s="76">
        <v>486.97</v>
      </c>
      <c r="K18" s="66"/>
      <c r="L18" s="67"/>
      <c r="M18" s="67">
        <f t="shared" si="0"/>
        <v>486.97</v>
      </c>
      <c r="N18" s="1" t="s">
        <v>111</v>
      </c>
      <c r="O18" s="1" t="s">
        <v>47</v>
      </c>
    </row>
    <row r="19" spans="1:15" ht="45.75" thickBot="1" x14ac:dyDescent="0.25">
      <c r="A19" s="62">
        <v>45277</v>
      </c>
      <c r="B19" s="62">
        <v>45277</v>
      </c>
      <c r="C19" s="62">
        <v>45295</v>
      </c>
      <c r="D19" s="63" t="s">
        <v>30</v>
      </c>
      <c r="E19" s="85" t="s">
        <v>78</v>
      </c>
      <c r="F19" s="155" t="s">
        <v>100</v>
      </c>
      <c r="G19" s="65" t="s">
        <v>45</v>
      </c>
      <c r="H19" s="69" t="s">
        <v>112</v>
      </c>
      <c r="I19" s="66"/>
      <c r="J19" s="66">
        <v>45.38</v>
      </c>
      <c r="K19" s="66"/>
      <c r="L19" s="67"/>
      <c r="M19" s="67">
        <f t="shared" si="0"/>
        <v>45.38</v>
      </c>
      <c r="N19" s="1" t="s">
        <v>113</v>
      </c>
      <c r="O19" s="1" t="s">
        <v>47</v>
      </c>
    </row>
    <row r="20" spans="1:15" ht="45.75" thickBot="1" x14ac:dyDescent="0.25">
      <c r="A20" s="62">
        <v>45277</v>
      </c>
      <c r="B20" s="62">
        <v>45277</v>
      </c>
      <c r="C20" s="62">
        <v>45321</v>
      </c>
      <c r="D20" s="63" t="s">
        <v>30</v>
      </c>
      <c r="E20" s="85" t="s">
        <v>78</v>
      </c>
      <c r="F20" s="155" t="s">
        <v>100</v>
      </c>
      <c r="G20" s="65" t="s">
        <v>45</v>
      </c>
      <c r="H20" s="69" t="s">
        <v>114</v>
      </c>
      <c r="I20" s="66"/>
      <c r="J20" s="66">
        <v>8.59</v>
      </c>
      <c r="K20" s="66"/>
      <c r="L20" s="67"/>
      <c r="M20" s="67">
        <f t="shared" si="0"/>
        <v>8.59</v>
      </c>
      <c r="N20" s="1" t="s">
        <v>115</v>
      </c>
      <c r="O20" s="1" t="s">
        <v>47</v>
      </c>
    </row>
    <row r="21" spans="1:15" ht="15" customHeight="1" x14ac:dyDescent="0.25">
      <c r="A21" s="75">
        <v>45291</v>
      </c>
      <c r="B21" s="75"/>
      <c r="C21" s="75">
        <v>45291</v>
      </c>
      <c r="D21" s="36"/>
      <c r="E21" s="70" t="s">
        <v>33</v>
      </c>
      <c r="F21" s="156" t="s">
        <v>34</v>
      </c>
      <c r="G21" s="44" t="s">
        <v>28</v>
      </c>
      <c r="H21" s="48" t="s">
        <v>35</v>
      </c>
      <c r="I21" s="86"/>
      <c r="J21" s="87">
        <f>SUM(J5:J20)*7%</f>
        <v>433.71370000000007</v>
      </c>
      <c r="K21" s="86"/>
      <c r="L21" s="41"/>
      <c r="M21" s="41">
        <f>J21</f>
        <v>433.71370000000007</v>
      </c>
    </row>
    <row r="22" spans="1:15" ht="18" customHeight="1" x14ac:dyDescent="0.2">
      <c r="A22" s="3"/>
      <c r="B22" s="3"/>
      <c r="C22" s="3"/>
      <c r="D22" s="3"/>
      <c r="E22" s="3"/>
      <c r="F22" s="15"/>
      <c r="G22" s="16"/>
      <c r="H22" s="19" t="s">
        <v>20</v>
      </c>
      <c r="I22" s="19"/>
      <c r="J22" s="19"/>
      <c r="K22" s="19"/>
      <c r="L22" s="72">
        <f>SUM(L4:L21)</f>
        <v>70411.81</v>
      </c>
      <c r="M22" s="73">
        <f>SUM(M4:M21)</f>
        <v>6629.623700000001</v>
      </c>
      <c r="N22" s="1" t="s">
        <v>64</v>
      </c>
      <c r="O22" s="1" t="s">
        <v>167</v>
      </c>
    </row>
    <row r="23" spans="1:15" ht="18" customHeight="1" x14ac:dyDescent="0.25">
      <c r="A23" s="3"/>
      <c r="B23" s="3"/>
      <c r="C23" s="3"/>
      <c r="D23" s="3"/>
      <c r="E23" s="3"/>
      <c r="F23" s="15"/>
      <c r="G23" s="16"/>
      <c r="H23" s="20" t="s">
        <v>21</v>
      </c>
      <c r="I23" s="20"/>
      <c r="J23" s="20"/>
      <c r="K23" s="19"/>
      <c r="L23" s="21" t="str">
        <f>IF(L22&lt;=M22,M22-L22,"")</f>
        <v/>
      </c>
      <c r="M23" s="21">
        <f>IF(M22&gt;=L22,"",L22-M22)</f>
        <v>63782.186299999994</v>
      </c>
      <c r="N23" s="11"/>
    </row>
    <row r="24" spans="1:15" ht="18" customHeight="1" thickBot="1" x14ac:dyDescent="0.25">
      <c r="A24" s="3"/>
      <c r="B24" s="3"/>
      <c r="C24" s="3"/>
      <c r="D24" s="3"/>
      <c r="E24" s="3"/>
      <c r="F24" s="15"/>
      <c r="G24" s="16"/>
      <c r="H24" s="19" t="s">
        <v>22</v>
      </c>
      <c r="I24" s="19"/>
      <c r="J24" s="19"/>
      <c r="K24" s="19"/>
      <c r="L24" s="22">
        <f>SUM(L22:L23)</f>
        <v>70411.81</v>
      </c>
      <c r="M24" s="22">
        <f>SUM(M22:M23)</f>
        <v>70411.81</v>
      </c>
    </row>
    <row r="25" spans="1:15" ht="12.95" customHeight="1" thickTop="1" x14ac:dyDescent="0.2">
      <c r="A25" s="3"/>
      <c r="B25" s="3"/>
      <c r="C25" s="3"/>
      <c r="D25" s="3"/>
      <c r="E25" s="3"/>
      <c r="F25" s="15"/>
      <c r="G25" s="16"/>
      <c r="H25" s="3"/>
      <c r="I25" s="3"/>
      <c r="J25" s="3"/>
      <c r="K25" s="3"/>
      <c r="L25" s="23"/>
      <c r="M25" s="23"/>
    </row>
    <row r="26" spans="1:15" ht="24.95" customHeight="1" x14ac:dyDescent="0.2">
      <c r="A26" s="3"/>
      <c r="B26" s="3"/>
      <c r="C26" s="3"/>
      <c r="D26" s="3"/>
      <c r="E26" s="3"/>
      <c r="F26" s="17"/>
      <c r="G26" s="24" t="s">
        <v>23</v>
      </c>
      <c r="H26" s="308"/>
      <c r="I26" s="309"/>
      <c r="J26" s="309"/>
      <c r="K26" s="309"/>
      <c r="L26" s="309"/>
      <c r="M26" s="310"/>
    </row>
    <row r="27" spans="1:15" ht="12.95" customHeight="1" x14ac:dyDescent="0.2">
      <c r="A27" s="3"/>
      <c r="B27" s="3"/>
      <c r="C27" s="3"/>
      <c r="D27" s="3"/>
      <c r="E27" s="3"/>
      <c r="F27" s="15"/>
      <c r="G27" s="18"/>
      <c r="H27" s="3"/>
      <c r="I27" s="3"/>
      <c r="J27" s="3"/>
      <c r="K27" s="3"/>
      <c r="L27" s="23"/>
      <c r="M27" s="23"/>
    </row>
    <row r="28" spans="1:15" ht="24.95" customHeight="1" x14ac:dyDescent="0.2">
      <c r="A28" s="3"/>
      <c r="B28" s="3"/>
      <c r="C28" s="3"/>
      <c r="D28" s="3"/>
      <c r="E28" s="3"/>
      <c r="F28" s="17"/>
      <c r="G28" s="24" t="s">
        <v>24</v>
      </c>
      <c r="H28" s="311"/>
      <c r="I28" s="312"/>
      <c r="J28" s="312"/>
      <c r="K28" s="312"/>
      <c r="L28" s="312"/>
      <c r="M28" s="313"/>
    </row>
    <row r="29" spans="1:15" ht="12.95" customHeight="1" x14ac:dyDescent="0.2"/>
    <row r="30" spans="1:15" ht="12.95" customHeight="1" x14ac:dyDescent="0.2"/>
    <row r="31" spans="1:15" ht="12.95" customHeight="1" x14ac:dyDescent="0.2"/>
    <row r="32" spans="1:15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</sheetData>
  <mergeCells count="5">
    <mergeCell ref="E1:G1"/>
    <mergeCell ref="J1:M1"/>
    <mergeCell ref="E2:G2"/>
    <mergeCell ref="H26:M26"/>
    <mergeCell ref="H28:M2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79B2D-CC7F-4CC4-A823-11CC2F4744F6}">
  <sheetPr>
    <tabColor rgb="FFFFC000"/>
  </sheetPr>
  <dimension ref="A1:O74"/>
  <sheetViews>
    <sheetView zoomScale="70" zoomScaleNormal="70" workbookViewId="0">
      <selection activeCell="J5" sqref="J5:J13"/>
    </sheetView>
  </sheetViews>
  <sheetFormatPr defaultColWidth="9.85546875" defaultRowHeight="15" x14ac:dyDescent="0.2"/>
  <cols>
    <col min="1" max="1" width="12.85546875" style="8" customWidth="1"/>
    <col min="2" max="2" width="15.42578125" style="8" customWidth="1"/>
    <col min="3" max="3" width="22.42578125" style="8" customWidth="1"/>
    <col min="4" max="4" width="16.140625" style="1" customWidth="1"/>
    <col min="5" max="5" width="14.5703125" style="9" customWidth="1"/>
    <col min="6" max="6" width="26.42578125" style="9" customWidth="1"/>
    <col min="7" max="7" width="24.85546875" style="10" customWidth="1"/>
    <col min="8" max="8" width="63.42578125" style="1" customWidth="1"/>
    <col min="9" max="9" width="15.7109375" style="1" customWidth="1"/>
    <col min="10" max="10" width="18.42578125" style="1" customWidth="1"/>
    <col min="11" max="11" width="14.42578125" style="1" customWidth="1"/>
    <col min="12" max="12" width="14.42578125" style="11" customWidth="1"/>
    <col min="13" max="13" width="13.42578125" style="11" customWidth="1"/>
    <col min="14" max="16384" width="9.85546875" style="1"/>
  </cols>
  <sheetData>
    <row r="1" spans="1:15" s="2" customFormat="1" ht="48" customHeight="1" x14ac:dyDescent="0.2">
      <c r="A1" s="7"/>
      <c r="B1" s="5" t="s">
        <v>0</v>
      </c>
      <c r="C1" s="25" t="s">
        <v>26</v>
      </c>
      <c r="D1" s="6" t="s">
        <v>1</v>
      </c>
      <c r="E1" s="304"/>
      <c r="F1" s="305"/>
      <c r="G1" s="306"/>
      <c r="H1" s="4" t="s">
        <v>2</v>
      </c>
      <c r="I1" s="4"/>
      <c r="J1" s="307" t="s">
        <v>36</v>
      </c>
      <c r="K1" s="307"/>
      <c r="L1" s="307"/>
      <c r="M1" s="307"/>
    </row>
    <row r="2" spans="1:15" ht="90" customHeight="1" x14ac:dyDescent="0.25">
      <c r="A2" s="49"/>
      <c r="B2" s="6" t="s">
        <v>3</v>
      </c>
      <c r="C2" s="25" t="s">
        <v>67</v>
      </c>
      <c r="D2" s="6" t="s">
        <v>4</v>
      </c>
      <c r="E2" s="304" t="s">
        <v>27</v>
      </c>
      <c r="F2" s="305"/>
      <c r="G2" s="306"/>
      <c r="H2" s="3"/>
      <c r="I2" s="3"/>
      <c r="J2" s="3"/>
      <c r="K2" s="3"/>
      <c r="L2" s="13" t="s">
        <v>5</v>
      </c>
      <c r="M2" s="26" t="s">
        <v>25</v>
      </c>
    </row>
    <row r="3" spans="1:15" s="12" customFormat="1" ht="63" x14ac:dyDescent="0.2">
      <c r="A3" s="50" t="s">
        <v>6</v>
      </c>
      <c r="B3" s="50" t="s">
        <v>7</v>
      </c>
      <c r="C3" s="50" t="s">
        <v>8</v>
      </c>
      <c r="D3" s="14" t="s">
        <v>9</v>
      </c>
      <c r="E3" s="50" t="s">
        <v>10</v>
      </c>
      <c r="F3" s="51" t="s">
        <v>11</v>
      </c>
      <c r="G3" s="51" t="s">
        <v>12</v>
      </c>
      <c r="H3" s="52" t="s">
        <v>13</v>
      </c>
      <c r="I3" s="53" t="s">
        <v>14</v>
      </c>
      <c r="J3" s="53" t="s">
        <v>15</v>
      </c>
      <c r="K3" s="52" t="s">
        <v>16</v>
      </c>
      <c r="L3" s="53" t="s">
        <v>17</v>
      </c>
      <c r="M3" s="53" t="s">
        <v>18</v>
      </c>
    </row>
    <row r="4" spans="1:15" ht="15" customHeight="1" x14ac:dyDescent="0.25">
      <c r="A4" s="54">
        <v>45107</v>
      </c>
      <c r="B4" s="54"/>
      <c r="C4" s="54">
        <v>45118</v>
      </c>
      <c r="D4" s="55" t="s">
        <v>30</v>
      </c>
      <c r="E4" s="62"/>
      <c r="F4" s="62"/>
      <c r="G4" s="58"/>
      <c r="H4" s="59" t="s">
        <v>19</v>
      </c>
      <c r="I4" s="59">
        <f>32364.02+39948.9</f>
        <v>72312.92</v>
      </c>
      <c r="J4" s="59"/>
      <c r="K4" s="59"/>
      <c r="L4" s="61">
        <f>I4</f>
        <v>72312.92</v>
      </c>
      <c r="M4" s="61">
        <v>0</v>
      </c>
    </row>
    <row r="5" spans="1:15" ht="15" customHeight="1" x14ac:dyDescent="0.2">
      <c r="A5" s="62">
        <v>45138</v>
      </c>
      <c r="B5" s="62"/>
      <c r="C5" s="62">
        <v>45138</v>
      </c>
      <c r="D5" s="63" t="s">
        <v>30</v>
      </c>
      <c r="E5" s="62" t="s">
        <v>68</v>
      </c>
      <c r="F5" s="167" t="s">
        <v>69</v>
      </c>
      <c r="G5" s="65" t="s">
        <v>45</v>
      </c>
      <c r="H5" s="69" t="s">
        <v>70</v>
      </c>
      <c r="I5" s="66"/>
      <c r="J5" s="66">
        <v>429.38</v>
      </c>
      <c r="K5" s="66"/>
      <c r="L5" s="67"/>
      <c r="M5" s="67">
        <f>J5</f>
        <v>429.38</v>
      </c>
      <c r="N5" s="1" t="s">
        <v>40</v>
      </c>
      <c r="O5" s="1" t="s">
        <v>47</v>
      </c>
    </row>
    <row r="6" spans="1:15" ht="15" customHeight="1" x14ac:dyDescent="0.2">
      <c r="A6" s="62"/>
      <c r="B6" s="62"/>
      <c r="C6" s="62"/>
      <c r="D6" s="63"/>
      <c r="E6" s="62" t="s">
        <v>68</v>
      </c>
      <c r="F6" s="167"/>
      <c r="G6" s="65"/>
      <c r="H6" s="69" t="s">
        <v>71</v>
      </c>
      <c r="I6" s="66"/>
      <c r="J6" s="76">
        <v>142.19999999999999</v>
      </c>
      <c r="K6" s="66"/>
      <c r="L6" s="67"/>
      <c r="M6" s="67">
        <f>J6</f>
        <v>142.19999999999999</v>
      </c>
    </row>
    <row r="7" spans="1:15" ht="15" customHeight="1" x14ac:dyDescent="0.2">
      <c r="A7" s="62">
        <v>45166</v>
      </c>
      <c r="B7" s="62"/>
      <c r="C7" s="62">
        <v>45166</v>
      </c>
      <c r="D7" s="63" t="s">
        <v>30</v>
      </c>
      <c r="E7" s="62" t="s">
        <v>68</v>
      </c>
      <c r="F7" s="167" t="s">
        <v>72</v>
      </c>
      <c r="G7" s="65" t="s">
        <v>45</v>
      </c>
      <c r="H7" s="69" t="s">
        <v>73</v>
      </c>
      <c r="I7" s="66"/>
      <c r="J7" s="66">
        <v>367.55</v>
      </c>
      <c r="K7" s="66"/>
      <c r="L7" s="67"/>
      <c r="M7" s="67">
        <f t="shared" ref="M7:M14" si="0">J7</f>
        <v>367.55</v>
      </c>
      <c r="N7" s="1" t="s">
        <v>41</v>
      </c>
      <c r="O7" s="1" t="s">
        <v>47</v>
      </c>
    </row>
    <row r="8" spans="1:15" ht="15" customHeight="1" x14ac:dyDescent="0.2">
      <c r="A8" s="62"/>
      <c r="B8" s="62"/>
      <c r="C8" s="62"/>
      <c r="D8" s="63"/>
      <c r="E8" s="62" t="s">
        <v>68</v>
      </c>
      <c r="F8" s="167"/>
      <c r="G8" s="65"/>
      <c r="H8" s="69" t="s">
        <v>74</v>
      </c>
      <c r="I8" s="66"/>
      <c r="J8" s="66">
        <v>211.51</v>
      </c>
      <c r="K8" s="66"/>
      <c r="L8" s="67"/>
      <c r="M8" s="67">
        <f>J8</f>
        <v>211.51</v>
      </c>
    </row>
    <row r="9" spans="1:15" ht="15" customHeight="1" x14ac:dyDescent="0.2">
      <c r="A9" s="62">
        <v>45198</v>
      </c>
      <c r="B9" s="62"/>
      <c r="C9" s="62">
        <v>45198</v>
      </c>
      <c r="D9" s="63" t="s">
        <v>30</v>
      </c>
      <c r="E9" s="62" t="s">
        <v>68</v>
      </c>
      <c r="F9" s="167" t="s">
        <v>75</v>
      </c>
      <c r="G9" s="65" t="s">
        <v>45</v>
      </c>
      <c r="H9" s="69" t="s">
        <v>76</v>
      </c>
      <c r="I9" s="66"/>
      <c r="J9" s="66">
        <v>456.22</v>
      </c>
      <c r="K9" s="66"/>
      <c r="L9" s="67"/>
      <c r="M9" s="67">
        <f t="shared" si="0"/>
        <v>456.22</v>
      </c>
      <c r="N9" s="1" t="s">
        <v>42</v>
      </c>
      <c r="O9" s="1" t="s">
        <v>47</v>
      </c>
    </row>
    <row r="10" spans="1:15" ht="15" customHeight="1" x14ac:dyDescent="0.2">
      <c r="A10" s="62"/>
      <c r="B10" s="62"/>
      <c r="C10" s="62"/>
      <c r="D10" s="63"/>
      <c r="E10" s="62" t="s">
        <v>68</v>
      </c>
      <c r="F10" s="167"/>
      <c r="G10" s="65"/>
      <c r="H10" s="69" t="s">
        <v>77</v>
      </c>
      <c r="I10" s="66"/>
      <c r="J10" s="66">
        <v>53.67</v>
      </c>
      <c r="K10" s="66"/>
      <c r="L10" s="67"/>
      <c r="M10" s="67">
        <f>J10</f>
        <v>53.67</v>
      </c>
    </row>
    <row r="11" spans="1:15" x14ac:dyDescent="0.2">
      <c r="A11" s="62">
        <v>45153</v>
      </c>
      <c r="B11" s="62">
        <v>45153</v>
      </c>
      <c r="C11" s="62">
        <v>45175</v>
      </c>
      <c r="D11" s="63" t="s">
        <v>30</v>
      </c>
      <c r="E11" s="62" t="s">
        <v>78</v>
      </c>
      <c r="F11" s="167" t="s">
        <v>79</v>
      </c>
      <c r="G11" s="65" t="s">
        <v>80</v>
      </c>
      <c r="H11" s="77" t="s">
        <v>81</v>
      </c>
      <c r="I11" s="66"/>
      <c r="J11" s="76">
        <v>57.6</v>
      </c>
      <c r="K11" s="66"/>
      <c r="L11" s="67"/>
      <c r="M11" s="67">
        <f t="shared" si="0"/>
        <v>57.6</v>
      </c>
      <c r="N11" s="1" t="s">
        <v>43</v>
      </c>
      <c r="O11" s="1" t="s">
        <v>47</v>
      </c>
    </row>
    <row r="12" spans="1:15" ht="30" x14ac:dyDescent="0.2">
      <c r="A12" s="62">
        <v>45169</v>
      </c>
      <c r="B12" s="62">
        <v>45153</v>
      </c>
      <c r="C12" s="62">
        <v>45180</v>
      </c>
      <c r="D12" s="63" t="s">
        <v>30</v>
      </c>
      <c r="E12" s="62" t="s">
        <v>78</v>
      </c>
      <c r="F12" s="167" t="s">
        <v>79</v>
      </c>
      <c r="G12" s="65" t="s">
        <v>45</v>
      </c>
      <c r="H12" s="77" t="s">
        <v>82</v>
      </c>
      <c r="I12" s="66"/>
      <c r="J12" s="66">
        <v>14.67</v>
      </c>
      <c r="K12" s="66"/>
      <c r="L12" s="67"/>
      <c r="M12" s="67">
        <f t="shared" si="0"/>
        <v>14.67</v>
      </c>
      <c r="N12" s="1" t="s">
        <v>52</v>
      </c>
      <c r="O12" s="1" t="s">
        <v>47</v>
      </c>
    </row>
    <row r="13" spans="1:15" ht="45" x14ac:dyDescent="0.2">
      <c r="A13" s="62">
        <v>45166</v>
      </c>
      <c r="B13" s="62">
        <v>45152</v>
      </c>
      <c r="C13" s="62">
        <v>45169</v>
      </c>
      <c r="D13" s="63" t="s">
        <v>30</v>
      </c>
      <c r="E13" s="62" t="s">
        <v>78</v>
      </c>
      <c r="F13" s="167" t="s">
        <v>79</v>
      </c>
      <c r="G13" s="65" t="s">
        <v>45</v>
      </c>
      <c r="H13" s="77" t="s">
        <v>83</v>
      </c>
      <c r="I13" s="66"/>
      <c r="J13" s="66">
        <v>43.94</v>
      </c>
      <c r="K13" s="66"/>
      <c r="L13" s="67"/>
      <c r="M13" s="67">
        <f t="shared" si="0"/>
        <v>43.94</v>
      </c>
      <c r="N13" s="1" t="s">
        <v>54</v>
      </c>
      <c r="O13" s="1" t="s">
        <v>47</v>
      </c>
    </row>
    <row r="14" spans="1:15" ht="15" customHeight="1" x14ac:dyDescent="0.25">
      <c r="A14" s="78">
        <v>45199</v>
      </c>
      <c r="B14" s="78"/>
      <c r="C14" s="78">
        <v>45199</v>
      </c>
      <c r="D14" s="79"/>
      <c r="E14" s="70" t="s">
        <v>33</v>
      </c>
      <c r="F14" s="70" t="s">
        <v>34</v>
      </c>
      <c r="G14" s="44" t="s">
        <v>28</v>
      </c>
      <c r="H14" s="48" t="s">
        <v>35</v>
      </c>
      <c r="I14" s="80"/>
      <c r="J14" s="81">
        <f>SUM(J5:J13)*7%</f>
        <v>124.37180000000001</v>
      </c>
      <c r="K14" s="80"/>
      <c r="L14" s="67"/>
      <c r="M14" s="67">
        <f t="shared" si="0"/>
        <v>124.37180000000001</v>
      </c>
    </row>
    <row r="15" spans="1:15" ht="18" customHeight="1" x14ac:dyDescent="0.2">
      <c r="A15" s="3"/>
      <c r="B15" s="3"/>
      <c r="C15" s="3"/>
      <c r="D15" s="3"/>
      <c r="E15" s="3"/>
      <c r="F15" s="168"/>
      <c r="G15" s="16"/>
      <c r="H15" s="19" t="s">
        <v>20</v>
      </c>
      <c r="I15" s="19"/>
      <c r="J15" s="19"/>
      <c r="K15" s="19"/>
      <c r="L15" s="72">
        <f>SUM(L4:L14)</f>
        <v>72312.92</v>
      </c>
      <c r="M15" s="73">
        <f>SUM(M4:M14)</f>
        <v>1901.1118000000001</v>
      </c>
      <c r="O15" s="1" t="s">
        <v>167</v>
      </c>
    </row>
    <row r="16" spans="1:15" ht="18" customHeight="1" x14ac:dyDescent="0.25">
      <c r="A16" s="3"/>
      <c r="B16" s="3"/>
      <c r="C16" s="3"/>
      <c r="D16" s="3"/>
      <c r="E16" s="3"/>
      <c r="F16" s="15"/>
      <c r="G16" s="16"/>
      <c r="H16" s="20" t="s">
        <v>21</v>
      </c>
      <c r="I16" s="20"/>
      <c r="J16" s="20"/>
      <c r="K16" s="19"/>
      <c r="L16" s="21" t="str">
        <f>IF(L15&lt;=M15,M15-L15,"")</f>
        <v/>
      </c>
      <c r="M16" s="21">
        <f>IF(M15&gt;=L15,"",L15-M15)</f>
        <v>70411.808199999999</v>
      </c>
    </row>
    <row r="17" spans="1:13" ht="18" customHeight="1" thickBot="1" x14ac:dyDescent="0.25">
      <c r="A17" s="3"/>
      <c r="B17" s="3"/>
      <c r="C17" s="3"/>
      <c r="D17" s="3"/>
      <c r="E17" s="3"/>
      <c r="F17" s="15"/>
      <c r="G17" s="16"/>
      <c r="H17" s="19" t="s">
        <v>22</v>
      </c>
      <c r="I17" s="19"/>
      <c r="J17" s="19"/>
      <c r="K17" s="19"/>
      <c r="L17" s="22">
        <f>SUM(L15:L16)</f>
        <v>72312.92</v>
      </c>
      <c r="M17" s="22">
        <f>SUM(M15:M16)</f>
        <v>72312.92</v>
      </c>
    </row>
    <row r="18" spans="1:13" ht="12.95" customHeight="1" thickTop="1" x14ac:dyDescent="0.2">
      <c r="A18" s="3"/>
      <c r="B18" s="3"/>
      <c r="C18" s="3"/>
      <c r="D18" s="3"/>
      <c r="E18" s="3"/>
      <c r="F18" s="15"/>
      <c r="G18" s="16"/>
      <c r="H18" s="3"/>
      <c r="I18" s="3"/>
      <c r="J18" s="3"/>
      <c r="K18" s="3"/>
      <c r="L18" s="23"/>
      <c r="M18" s="23"/>
    </row>
    <row r="19" spans="1:13" ht="24.95" customHeight="1" x14ac:dyDescent="0.2">
      <c r="A19" s="3"/>
      <c r="B19" s="3"/>
      <c r="C19" s="3"/>
      <c r="D19" s="3"/>
      <c r="E19" s="3"/>
      <c r="F19" s="17"/>
      <c r="G19" s="24" t="s">
        <v>23</v>
      </c>
      <c r="H19" s="308"/>
      <c r="I19" s="309"/>
      <c r="J19" s="309"/>
      <c r="K19" s="309"/>
      <c r="L19" s="309"/>
      <c r="M19" s="310"/>
    </row>
    <row r="20" spans="1:13" ht="12.95" customHeight="1" x14ac:dyDescent="0.2">
      <c r="A20" s="3"/>
      <c r="B20" s="3"/>
      <c r="C20" s="3"/>
      <c r="D20" s="3"/>
      <c r="E20" s="3"/>
      <c r="F20" s="15"/>
      <c r="G20" s="18"/>
      <c r="H20" s="3"/>
      <c r="I20" s="3"/>
      <c r="J20" s="3"/>
      <c r="K20" s="3"/>
      <c r="L20" s="23"/>
      <c r="M20" s="23"/>
    </row>
    <row r="21" spans="1:13" ht="24.95" customHeight="1" x14ac:dyDescent="0.2">
      <c r="A21" s="3"/>
      <c r="B21" s="3"/>
      <c r="C21" s="3"/>
      <c r="D21" s="3"/>
      <c r="E21" s="3"/>
      <c r="F21" s="17"/>
      <c r="G21" s="24" t="s">
        <v>24</v>
      </c>
      <c r="H21" s="311"/>
      <c r="I21" s="312"/>
      <c r="J21" s="312"/>
      <c r="K21" s="312"/>
      <c r="L21" s="312"/>
      <c r="M21" s="313"/>
    </row>
    <row r="22" spans="1:13" ht="12.95" customHeight="1" x14ac:dyDescent="0.2"/>
    <row r="23" spans="1:13" ht="12.95" customHeight="1" x14ac:dyDescent="0.2"/>
    <row r="24" spans="1:13" ht="12.95" customHeight="1" x14ac:dyDescent="0.2"/>
    <row r="25" spans="1:13" ht="12.95" customHeight="1" x14ac:dyDescent="0.2"/>
    <row r="26" spans="1:13" ht="12.95" customHeight="1" x14ac:dyDescent="0.2"/>
    <row r="27" spans="1:13" ht="12.95" customHeight="1" x14ac:dyDescent="0.2"/>
    <row r="28" spans="1:13" ht="12.95" customHeight="1" x14ac:dyDescent="0.2"/>
    <row r="29" spans="1:13" ht="12.95" customHeight="1" x14ac:dyDescent="0.2"/>
    <row r="30" spans="1:13" ht="12.95" customHeight="1" x14ac:dyDescent="0.2"/>
    <row r="31" spans="1:13" ht="12.95" customHeight="1" x14ac:dyDescent="0.2"/>
    <row r="32" spans="1:13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</sheetData>
  <mergeCells count="5">
    <mergeCell ref="E1:G1"/>
    <mergeCell ref="J1:M1"/>
    <mergeCell ref="E2:G2"/>
    <mergeCell ref="H19:M19"/>
    <mergeCell ref="H21:M2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9069D-FBFD-463B-92A3-C4BCC319F166}">
  <dimension ref="A1:O69"/>
  <sheetViews>
    <sheetView zoomScale="70" zoomScaleNormal="70" workbookViewId="0">
      <selection activeCell="N24" sqref="N24"/>
    </sheetView>
  </sheetViews>
  <sheetFormatPr defaultColWidth="9.85546875" defaultRowHeight="15" x14ac:dyDescent="0.2"/>
  <cols>
    <col min="1" max="1" width="14.5703125" style="8" customWidth="1"/>
    <col min="2" max="2" width="15.140625" style="8" customWidth="1"/>
    <col min="3" max="3" width="20" style="8" customWidth="1"/>
    <col min="4" max="4" width="16.140625" style="1" customWidth="1"/>
    <col min="5" max="5" width="17.85546875" style="9" customWidth="1"/>
    <col min="6" max="6" width="22.28515625" style="9" customWidth="1"/>
    <col min="7" max="7" width="24.5703125" style="10" customWidth="1"/>
    <col min="8" max="8" width="54.7109375" style="1" bestFit="1" customWidth="1"/>
    <col min="9" max="9" width="15.7109375" style="1" customWidth="1"/>
    <col min="10" max="10" width="18.42578125" style="1" customWidth="1"/>
    <col min="11" max="11" width="14.42578125" style="1" customWidth="1"/>
    <col min="12" max="12" width="14.42578125" style="11" customWidth="1"/>
    <col min="13" max="13" width="13.42578125" style="11" customWidth="1"/>
    <col min="14" max="16384" width="9.85546875" style="1"/>
  </cols>
  <sheetData>
    <row r="1" spans="1:15" s="2" customFormat="1" ht="31.5" x14ac:dyDescent="0.2">
      <c r="A1" s="7"/>
      <c r="B1" s="5" t="s">
        <v>0</v>
      </c>
      <c r="C1" s="25" t="s">
        <v>26</v>
      </c>
      <c r="D1" s="6" t="s">
        <v>1</v>
      </c>
      <c r="E1" s="304"/>
      <c r="F1" s="305"/>
      <c r="G1" s="306"/>
      <c r="H1" s="4" t="s">
        <v>2</v>
      </c>
      <c r="I1" s="4"/>
      <c r="J1" s="307" t="s">
        <v>36</v>
      </c>
      <c r="K1" s="307"/>
      <c r="L1" s="307"/>
      <c r="M1" s="307"/>
    </row>
    <row r="2" spans="1:15" ht="61.15" customHeight="1" x14ac:dyDescent="0.25">
      <c r="A2" s="49"/>
      <c r="B2" s="6" t="s">
        <v>3</v>
      </c>
      <c r="C2" s="25" t="s">
        <v>65</v>
      </c>
      <c r="D2" s="6" t="s">
        <v>4</v>
      </c>
      <c r="E2" s="304" t="s">
        <v>27</v>
      </c>
      <c r="F2" s="305"/>
      <c r="G2" s="306"/>
      <c r="H2" s="3"/>
      <c r="I2" s="3"/>
      <c r="J2" s="3"/>
      <c r="K2" s="3"/>
      <c r="L2" s="13" t="s">
        <v>5</v>
      </c>
      <c r="M2" s="26" t="s">
        <v>25</v>
      </c>
    </row>
    <row r="3" spans="1:15" s="12" customFormat="1" ht="63" x14ac:dyDescent="0.2">
      <c r="A3" s="50" t="s">
        <v>6</v>
      </c>
      <c r="B3" s="50" t="s">
        <v>7</v>
      </c>
      <c r="C3" s="50" t="s">
        <v>8</v>
      </c>
      <c r="D3" s="14" t="s">
        <v>9</v>
      </c>
      <c r="E3" s="50" t="s">
        <v>10</v>
      </c>
      <c r="F3" s="51" t="s">
        <v>11</v>
      </c>
      <c r="G3" s="51" t="s">
        <v>12</v>
      </c>
      <c r="H3" s="52" t="s">
        <v>13</v>
      </c>
      <c r="I3" s="53" t="s">
        <v>14</v>
      </c>
      <c r="J3" s="53" t="s">
        <v>15</v>
      </c>
      <c r="K3" s="52" t="s">
        <v>16</v>
      </c>
      <c r="L3" s="53" t="s">
        <v>17</v>
      </c>
      <c r="M3" s="53" t="s">
        <v>18</v>
      </c>
    </row>
    <row r="4" spans="1:15" ht="15" customHeight="1" x14ac:dyDescent="0.25">
      <c r="A4" s="54">
        <v>45016</v>
      </c>
      <c r="B4" s="54"/>
      <c r="C4" s="54"/>
      <c r="D4" s="55" t="s">
        <v>30</v>
      </c>
      <c r="E4" s="56"/>
      <c r="F4" s="57"/>
      <c r="G4" s="58"/>
      <c r="H4" s="59" t="s">
        <v>19</v>
      </c>
      <c r="I4" s="60">
        <v>34268.5</v>
      </c>
      <c r="J4" s="60"/>
      <c r="K4" s="60"/>
      <c r="L4" s="61">
        <f>I4</f>
        <v>34268.5</v>
      </c>
      <c r="M4" s="61">
        <v>0</v>
      </c>
    </row>
    <row r="5" spans="1:15" ht="15" customHeight="1" x14ac:dyDescent="0.25">
      <c r="A5" s="62">
        <v>45044</v>
      </c>
      <c r="B5" s="91"/>
      <c r="C5" s="91"/>
      <c r="D5" s="63" t="s">
        <v>30</v>
      </c>
      <c r="E5" s="64" t="s">
        <v>68</v>
      </c>
      <c r="F5" s="173" t="s">
        <v>240</v>
      </c>
      <c r="G5" s="65" t="s">
        <v>45</v>
      </c>
      <c r="H5" s="66" t="s">
        <v>241</v>
      </c>
      <c r="I5" s="174"/>
      <c r="J5" s="67">
        <f>7*16.69</f>
        <v>116.83000000000001</v>
      </c>
      <c r="K5" s="174"/>
      <c r="L5" s="67"/>
      <c r="M5" s="67">
        <f t="shared" ref="M5:M22" si="0">J5</f>
        <v>116.83000000000001</v>
      </c>
      <c r="N5" s="1" t="s">
        <v>40</v>
      </c>
      <c r="O5" s="1" t="s">
        <v>47</v>
      </c>
    </row>
    <row r="6" spans="1:15" ht="15" customHeight="1" x14ac:dyDescent="0.25">
      <c r="A6" s="62">
        <v>45044</v>
      </c>
      <c r="B6" s="91"/>
      <c r="C6" s="91"/>
      <c r="D6" s="63" t="s">
        <v>30</v>
      </c>
      <c r="E6" s="64" t="s">
        <v>68</v>
      </c>
      <c r="F6" s="173" t="s">
        <v>242</v>
      </c>
      <c r="G6" s="65" t="s">
        <v>45</v>
      </c>
      <c r="H6" s="66" t="s">
        <v>243</v>
      </c>
      <c r="I6" s="174"/>
      <c r="J6" s="67">
        <f>1.5*16.69</f>
        <v>25.035000000000004</v>
      </c>
      <c r="K6" s="174"/>
      <c r="L6" s="67"/>
      <c r="M6" s="67">
        <f t="shared" si="0"/>
        <v>25.035000000000004</v>
      </c>
      <c r="N6" s="1" t="s">
        <v>41</v>
      </c>
      <c r="O6" s="1" t="s">
        <v>47</v>
      </c>
    </row>
    <row r="7" spans="1:15" ht="15" customHeight="1" x14ac:dyDescent="0.25">
      <c r="A7" s="62">
        <v>45044</v>
      </c>
      <c r="B7" s="91"/>
      <c r="C7" s="91"/>
      <c r="D7" s="63" t="s">
        <v>30</v>
      </c>
      <c r="E7" s="64" t="s">
        <v>68</v>
      </c>
      <c r="F7" s="173" t="s">
        <v>244</v>
      </c>
      <c r="G7" s="65" t="s">
        <v>45</v>
      </c>
      <c r="H7" s="66" t="s">
        <v>245</v>
      </c>
      <c r="I7" s="174"/>
      <c r="J7" s="67">
        <f>1.33*16.69</f>
        <v>22.197700000000005</v>
      </c>
      <c r="K7" s="174"/>
      <c r="L7" s="67"/>
      <c r="M7" s="67">
        <f t="shared" si="0"/>
        <v>22.197700000000005</v>
      </c>
      <c r="N7" s="1" t="s">
        <v>42</v>
      </c>
      <c r="O7" s="1" t="s">
        <v>47</v>
      </c>
    </row>
    <row r="8" spans="1:15" ht="15.75" x14ac:dyDescent="0.25">
      <c r="A8" s="62">
        <v>45044</v>
      </c>
      <c r="B8" s="91"/>
      <c r="C8" s="91"/>
      <c r="D8" s="63" t="s">
        <v>30</v>
      </c>
      <c r="E8" s="64" t="s">
        <v>68</v>
      </c>
      <c r="F8" s="173" t="s">
        <v>246</v>
      </c>
      <c r="G8" s="65" t="s">
        <v>45</v>
      </c>
      <c r="H8" s="66" t="s">
        <v>247</v>
      </c>
      <c r="I8" s="174"/>
      <c r="J8" s="67">
        <f>10.5*16.69</f>
        <v>175.245</v>
      </c>
      <c r="K8" s="174"/>
      <c r="L8" s="67"/>
      <c r="M8" s="67">
        <f t="shared" si="0"/>
        <v>175.245</v>
      </c>
      <c r="N8" s="1" t="s">
        <v>43</v>
      </c>
      <c r="O8" s="1" t="s">
        <v>47</v>
      </c>
    </row>
    <row r="9" spans="1:15" ht="15" customHeight="1" x14ac:dyDescent="0.25">
      <c r="A9" s="62">
        <v>45044</v>
      </c>
      <c r="B9" s="62">
        <v>45044</v>
      </c>
      <c r="C9" s="62">
        <v>45044</v>
      </c>
      <c r="D9" s="63" t="s">
        <v>30</v>
      </c>
      <c r="E9" s="64" t="s">
        <v>68</v>
      </c>
      <c r="F9" s="173" t="s">
        <v>248</v>
      </c>
      <c r="G9" s="65" t="s">
        <v>45</v>
      </c>
      <c r="H9" s="66" t="s">
        <v>249</v>
      </c>
      <c r="I9" s="67"/>
      <c r="J9" s="67">
        <f>1*16.63</f>
        <v>16.63</v>
      </c>
      <c r="K9" s="67"/>
      <c r="L9" s="67"/>
      <c r="M9" s="67">
        <f t="shared" si="0"/>
        <v>16.63</v>
      </c>
    </row>
    <row r="10" spans="1:15" ht="18" customHeight="1" x14ac:dyDescent="0.25">
      <c r="A10" s="62"/>
      <c r="B10" s="62"/>
      <c r="C10" s="62"/>
      <c r="D10" s="63" t="s">
        <v>30</v>
      </c>
      <c r="E10" s="64" t="s">
        <v>68</v>
      </c>
      <c r="F10" s="178"/>
      <c r="G10" s="65" t="s">
        <v>45</v>
      </c>
      <c r="H10" s="66" t="s">
        <v>250</v>
      </c>
      <c r="I10" s="67"/>
      <c r="J10" s="67">
        <v>229.44</v>
      </c>
      <c r="K10" s="67"/>
      <c r="L10" s="67"/>
      <c r="M10" s="67">
        <f t="shared" si="0"/>
        <v>229.44</v>
      </c>
    </row>
    <row r="11" spans="1:15" ht="18" customHeight="1" x14ac:dyDescent="0.25">
      <c r="A11" s="62">
        <v>45077</v>
      </c>
      <c r="B11" s="62">
        <v>45077</v>
      </c>
      <c r="C11" s="62">
        <v>45077</v>
      </c>
      <c r="D11" s="63" t="s">
        <v>30</v>
      </c>
      <c r="E11" s="64" t="s">
        <v>68</v>
      </c>
      <c r="F11" s="173" t="s">
        <v>240</v>
      </c>
      <c r="G11" s="65" t="s">
        <v>45</v>
      </c>
      <c r="H11" s="66" t="s">
        <v>251</v>
      </c>
      <c r="I11" s="67"/>
      <c r="J11" s="67">
        <f>1*16.65</f>
        <v>16.649999999999999</v>
      </c>
      <c r="K11" s="67"/>
      <c r="L11" s="67"/>
      <c r="M11" s="67">
        <f t="shared" si="0"/>
        <v>16.649999999999999</v>
      </c>
    </row>
    <row r="12" spans="1:15" ht="18" customHeight="1" x14ac:dyDescent="0.25">
      <c r="A12" s="62">
        <v>45077</v>
      </c>
      <c r="B12" s="62"/>
      <c r="C12" s="62"/>
      <c r="D12" s="63" t="s">
        <v>30</v>
      </c>
      <c r="E12" s="64" t="s">
        <v>68</v>
      </c>
      <c r="F12" s="173" t="s">
        <v>242</v>
      </c>
      <c r="G12" s="65" t="s">
        <v>45</v>
      </c>
      <c r="H12" s="66" t="s">
        <v>252</v>
      </c>
      <c r="I12" s="67"/>
      <c r="J12" s="67">
        <f>0.56*16.69</f>
        <v>9.3464000000000009</v>
      </c>
      <c r="K12" s="67"/>
      <c r="L12" s="67"/>
      <c r="M12" s="67">
        <f t="shared" si="0"/>
        <v>9.3464000000000009</v>
      </c>
    </row>
    <row r="13" spans="1:15" ht="12.95" customHeight="1" x14ac:dyDescent="0.25">
      <c r="A13" s="62">
        <v>45077</v>
      </c>
      <c r="B13" s="62"/>
      <c r="C13" s="62"/>
      <c r="D13" s="63" t="s">
        <v>30</v>
      </c>
      <c r="E13" s="64" t="s">
        <v>68</v>
      </c>
      <c r="F13" s="173" t="s">
        <v>244</v>
      </c>
      <c r="G13" s="65" t="s">
        <v>45</v>
      </c>
      <c r="H13" s="66" t="s">
        <v>253</v>
      </c>
      <c r="I13" s="67"/>
      <c r="J13" s="67">
        <f>14.5*16.69</f>
        <v>242.00500000000002</v>
      </c>
      <c r="K13" s="67"/>
      <c r="L13" s="67"/>
      <c r="M13" s="67">
        <f t="shared" si="0"/>
        <v>242.00500000000002</v>
      </c>
    </row>
    <row r="14" spans="1:15" ht="24.95" customHeight="1" x14ac:dyDescent="0.25">
      <c r="A14" s="62">
        <v>45077</v>
      </c>
      <c r="B14" s="62"/>
      <c r="C14" s="62"/>
      <c r="D14" s="63" t="s">
        <v>30</v>
      </c>
      <c r="E14" s="64" t="s">
        <v>68</v>
      </c>
      <c r="F14" s="173" t="s">
        <v>246</v>
      </c>
      <c r="G14" s="65" t="s">
        <v>45</v>
      </c>
      <c r="H14" s="66" t="s">
        <v>254</v>
      </c>
      <c r="I14" s="67"/>
      <c r="J14" s="67">
        <f>8*16.69</f>
        <v>133.52000000000001</v>
      </c>
      <c r="K14" s="67"/>
      <c r="L14" s="67"/>
      <c r="M14" s="67">
        <f t="shared" si="0"/>
        <v>133.52000000000001</v>
      </c>
    </row>
    <row r="15" spans="1:15" ht="12.95" customHeight="1" x14ac:dyDescent="0.25">
      <c r="A15" s="62">
        <v>45077</v>
      </c>
      <c r="B15" s="62"/>
      <c r="C15" s="62"/>
      <c r="D15" s="63" t="s">
        <v>30</v>
      </c>
      <c r="E15" s="64" t="s">
        <v>68</v>
      </c>
      <c r="F15" s="173" t="s">
        <v>248</v>
      </c>
      <c r="G15" s="65" t="s">
        <v>45</v>
      </c>
      <c r="H15" s="66" t="s">
        <v>255</v>
      </c>
      <c r="I15" s="67"/>
      <c r="J15" s="67">
        <f>0.5*16.7</f>
        <v>8.35</v>
      </c>
      <c r="K15" s="67"/>
      <c r="L15" s="67"/>
      <c r="M15" s="67">
        <f t="shared" si="0"/>
        <v>8.35</v>
      </c>
    </row>
    <row r="16" spans="1:15" ht="15.75" x14ac:dyDescent="0.25">
      <c r="A16" s="62"/>
      <c r="B16" s="62"/>
      <c r="C16" s="62"/>
      <c r="D16" s="63" t="s">
        <v>30</v>
      </c>
      <c r="E16" s="64" t="s">
        <v>68</v>
      </c>
      <c r="F16" s="178"/>
      <c r="G16" s="65" t="s">
        <v>45</v>
      </c>
      <c r="H16" s="66" t="s">
        <v>256</v>
      </c>
      <c r="I16" s="67"/>
      <c r="J16" s="67">
        <v>134.66999999999999</v>
      </c>
      <c r="K16" s="67"/>
      <c r="L16" s="67"/>
      <c r="M16" s="67">
        <f t="shared" si="0"/>
        <v>134.66999999999999</v>
      </c>
    </row>
    <row r="17" spans="1:15" ht="12.95" customHeight="1" x14ac:dyDescent="0.25">
      <c r="A17" s="62">
        <v>45107</v>
      </c>
      <c r="B17" s="62"/>
      <c r="C17" s="62"/>
      <c r="D17" s="63" t="s">
        <v>30</v>
      </c>
      <c r="E17" s="64" t="s">
        <v>68</v>
      </c>
      <c r="F17" s="173" t="s">
        <v>240</v>
      </c>
      <c r="G17" s="65" t="s">
        <v>45</v>
      </c>
      <c r="H17" s="66" t="s">
        <v>257</v>
      </c>
      <c r="I17" s="67"/>
      <c r="J17" s="67">
        <f>11.77*16.69</f>
        <v>196.44130000000001</v>
      </c>
      <c r="K17" s="67"/>
      <c r="L17" s="67"/>
      <c r="M17" s="67">
        <f t="shared" si="0"/>
        <v>196.44130000000001</v>
      </c>
    </row>
    <row r="18" spans="1:15" ht="12.95" customHeight="1" x14ac:dyDescent="0.25">
      <c r="A18" s="62">
        <v>45107</v>
      </c>
      <c r="B18" s="62"/>
      <c r="C18" s="62"/>
      <c r="D18" s="63" t="s">
        <v>30</v>
      </c>
      <c r="E18" s="64" t="s">
        <v>68</v>
      </c>
      <c r="F18" s="173" t="s">
        <v>242</v>
      </c>
      <c r="G18" s="65" t="s">
        <v>45</v>
      </c>
      <c r="H18" s="66" t="s">
        <v>258</v>
      </c>
      <c r="I18" s="67"/>
      <c r="J18" s="67">
        <v>66.75</v>
      </c>
      <c r="K18" s="67"/>
      <c r="L18" s="67"/>
      <c r="M18" s="67">
        <f t="shared" si="0"/>
        <v>66.75</v>
      </c>
    </row>
    <row r="19" spans="1:15" ht="12.95" customHeight="1" x14ac:dyDescent="0.25">
      <c r="A19" s="62">
        <v>45107</v>
      </c>
      <c r="B19" s="62"/>
      <c r="C19" s="62"/>
      <c r="D19" s="63" t="s">
        <v>30</v>
      </c>
      <c r="E19" s="64" t="s">
        <v>68</v>
      </c>
      <c r="F19" s="173" t="s">
        <v>244</v>
      </c>
      <c r="G19" s="65" t="s">
        <v>45</v>
      </c>
      <c r="H19" s="66" t="s">
        <v>259</v>
      </c>
      <c r="I19" s="67"/>
      <c r="J19" s="67">
        <f>2*16.67</f>
        <v>33.340000000000003</v>
      </c>
      <c r="K19" s="67"/>
      <c r="L19" s="67"/>
      <c r="M19" s="67">
        <f t="shared" si="0"/>
        <v>33.340000000000003</v>
      </c>
    </row>
    <row r="20" spans="1:15" ht="12.95" customHeight="1" x14ac:dyDescent="0.25">
      <c r="A20" s="62">
        <v>45107</v>
      </c>
      <c r="B20" s="62"/>
      <c r="C20" s="62"/>
      <c r="D20" s="63" t="s">
        <v>30</v>
      </c>
      <c r="E20" s="64" t="s">
        <v>68</v>
      </c>
      <c r="F20" s="173" t="s">
        <v>246</v>
      </c>
      <c r="G20" s="65" t="s">
        <v>45</v>
      </c>
      <c r="H20" s="66" t="s">
        <v>260</v>
      </c>
      <c r="I20" s="67"/>
      <c r="J20" s="67">
        <f>6*16.69</f>
        <v>100.14000000000001</v>
      </c>
      <c r="K20" s="67"/>
      <c r="L20" s="67"/>
      <c r="M20" s="67">
        <f t="shared" si="0"/>
        <v>100.14000000000001</v>
      </c>
    </row>
    <row r="21" spans="1:15" ht="12.95" customHeight="1" x14ac:dyDescent="0.25">
      <c r="A21" s="62">
        <v>45107</v>
      </c>
      <c r="B21" s="62">
        <v>45107</v>
      </c>
      <c r="C21" s="62">
        <v>45107</v>
      </c>
      <c r="D21" s="63" t="s">
        <v>30</v>
      </c>
      <c r="E21" s="64" t="s">
        <v>68</v>
      </c>
      <c r="F21" s="173" t="s">
        <v>248</v>
      </c>
      <c r="G21" s="65" t="s">
        <v>45</v>
      </c>
      <c r="H21" s="66" t="s">
        <v>261</v>
      </c>
      <c r="I21" s="67"/>
      <c r="J21" s="67">
        <f>10*16.69</f>
        <v>166.9</v>
      </c>
      <c r="K21" s="67"/>
      <c r="L21" s="67"/>
      <c r="M21" s="67">
        <f t="shared" si="0"/>
        <v>166.9</v>
      </c>
    </row>
    <row r="22" spans="1:15" ht="12.95" customHeight="1" x14ac:dyDescent="0.2">
      <c r="A22" s="62">
        <v>45058</v>
      </c>
      <c r="B22" s="62">
        <v>45058</v>
      </c>
      <c r="C22" s="62">
        <v>45103</v>
      </c>
      <c r="D22" s="63" t="s">
        <v>30</v>
      </c>
      <c r="E22" s="64" t="s">
        <v>107</v>
      </c>
      <c r="F22" s="175" t="s">
        <v>262</v>
      </c>
      <c r="G22" s="65" t="s">
        <v>45</v>
      </c>
      <c r="H22" s="69" t="s">
        <v>66</v>
      </c>
      <c r="I22" s="67"/>
      <c r="J22" s="67">
        <v>86.4</v>
      </c>
      <c r="K22" s="67"/>
      <c r="L22" s="67"/>
      <c r="M22" s="67">
        <f t="shared" si="0"/>
        <v>86.4</v>
      </c>
    </row>
    <row r="23" spans="1:15" ht="12.95" customHeight="1" x14ac:dyDescent="0.25">
      <c r="A23" s="75">
        <v>45107</v>
      </c>
      <c r="B23" s="75">
        <v>45107</v>
      </c>
      <c r="C23" s="75">
        <v>45107</v>
      </c>
      <c r="D23" s="25"/>
      <c r="E23" s="70" t="s">
        <v>33</v>
      </c>
      <c r="F23" s="173" t="s">
        <v>34</v>
      </c>
      <c r="G23" s="44" t="s">
        <v>28</v>
      </c>
      <c r="H23" s="48" t="s">
        <v>35</v>
      </c>
      <c r="I23" s="46"/>
      <c r="J23" s="46">
        <f>SUM(J5:J22)*7%</f>
        <v>124.59232800000002</v>
      </c>
      <c r="K23" s="46"/>
      <c r="L23" s="46"/>
      <c r="M23" s="46">
        <f>J23</f>
        <v>124.59232800000002</v>
      </c>
    </row>
    <row r="24" spans="1:15" ht="12.95" customHeight="1" x14ac:dyDescent="0.2">
      <c r="A24" s="3"/>
      <c r="B24" s="3"/>
      <c r="C24" s="3"/>
      <c r="D24" s="3"/>
      <c r="E24" s="3"/>
      <c r="F24" s="15"/>
      <c r="G24" s="16"/>
      <c r="H24" s="19" t="s">
        <v>20</v>
      </c>
      <c r="I24" s="19"/>
      <c r="J24" s="19"/>
      <c r="K24" s="19"/>
      <c r="L24" s="72">
        <f>SUM(L4:L23)</f>
        <v>34268.5</v>
      </c>
      <c r="M24" s="73">
        <f>SUM(M4:M23)</f>
        <v>1904.4827280000002</v>
      </c>
      <c r="N24" s="1" t="s">
        <v>64</v>
      </c>
      <c r="O24" s="1" t="s">
        <v>167</v>
      </c>
    </row>
    <row r="25" spans="1:15" ht="12.95" customHeight="1" x14ac:dyDescent="0.25">
      <c r="A25" s="3"/>
      <c r="B25" s="3"/>
      <c r="C25" s="3"/>
      <c r="D25" s="3"/>
      <c r="E25" s="3"/>
      <c r="F25" s="15"/>
      <c r="G25" s="16"/>
      <c r="H25" s="20" t="s">
        <v>21</v>
      </c>
      <c r="I25" s="20"/>
      <c r="J25" s="20"/>
      <c r="K25" s="19"/>
      <c r="L25" s="21" t="str">
        <f>IF(L24&lt;=M24,M24-L24,"")</f>
        <v/>
      </c>
      <c r="M25" s="21">
        <f>IF(M24&gt;=L24,"",L24-M24)</f>
        <v>32364.017272000001</v>
      </c>
    </row>
    <row r="26" spans="1:15" ht="12.95" customHeight="1" thickBot="1" x14ac:dyDescent="0.25">
      <c r="A26" s="3"/>
      <c r="B26" s="3"/>
      <c r="C26" s="3"/>
      <c r="D26" s="3"/>
      <c r="E26" s="3"/>
      <c r="F26" s="15"/>
      <c r="G26" s="16"/>
      <c r="H26" s="19" t="s">
        <v>22</v>
      </c>
      <c r="I26" s="19"/>
      <c r="J26" s="19"/>
      <c r="K26" s="19"/>
      <c r="L26" s="22">
        <f>SUM(L24:L25)</f>
        <v>34268.5</v>
      </c>
      <c r="M26" s="22">
        <f>SUM(M24:M25)</f>
        <v>34268.5</v>
      </c>
    </row>
    <row r="27" spans="1:15" ht="12.95" customHeight="1" thickTop="1" x14ac:dyDescent="0.2">
      <c r="A27" s="3"/>
      <c r="B27" s="3"/>
      <c r="C27" s="3"/>
      <c r="D27" s="3"/>
      <c r="E27" s="3"/>
      <c r="F27" s="15"/>
      <c r="G27" s="16"/>
      <c r="H27" s="3"/>
      <c r="I27" s="3"/>
      <c r="J27" s="3"/>
      <c r="K27" s="3"/>
      <c r="L27" s="23"/>
      <c r="M27" s="23"/>
    </row>
    <row r="28" spans="1:15" ht="12.95" customHeight="1" x14ac:dyDescent="0.2">
      <c r="A28" s="3"/>
      <c r="B28" s="3"/>
      <c r="C28" s="3"/>
      <c r="D28" s="3"/>
      <c r="E28" s="3"/>
      <c r="F28" s="17"/>
      <c r="G28" s="24" t="s">
        <v>23</v>
      </c>
      <c r="H28" s="308"/>
      <c r="I28" s="309"/>
      <c r="J28" s="309"/>
      <c r="K28" s="309"/>
      <c r="L28" s="309"/>
      <c r="M28" s="310"/>
    </row>
    <row r="29" spans="1:15" ht="12.95" customHeight="1" x14ac:dyDescent="0.2">
      <c r="A29" s="3"/>
      <c r="B29" s="3"/>
      <c r="C29" s="3"/>
      <c r="D29" s="3"/>
      <c r="E29" s="3"/>
      <c r="F29" s="15"/>
      <c r="G29" s="18"/>
      <c r="H29" s="3"/>
      <c r="I29" s="3"/>
      <c r="J29" s="3"/>
      <c r="K29" s="3"/>
      <c r="L29" s="23"/>
      <c r="M29" s="23"/>
    </row>
    <row r="30" spans="1:15" ht="12.95" customHeight="1" x14ac:dyDescent="0.2">
      <c r="A30" s="3"/>
      <c r="B30" s="3"/>
      <c r="C30" s="3"/>
      <c r="D30" s="3"/>
      <c r="E30" s="3"/>
      <c r="F30" s="17"/>
      <c r="G30" s="24" t="s">
        <v>24</v>
      </c>
      <c r="H30" s="311"/>
      <c r="I30" s="312"/>
      <c r="J30" s="312"/>
      <c r="K30" s="312"/>
      <c r="L30" s="312"/>
      <c r="M30" s="313"/>
    </row>
    <row r="31" spans="1:15" ht="12.95" customHeight="1" x14ac:dyDescent="0.2"/>
    <row r="32" spans="1:15" ht="12.95" customHeight="1" x14ac:dyDescent="0.2"/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  <row r="46" ht="12.95" customHeight="1" x14ac:dyDescent="0.2"/>
    <row r="47" ht="12.95" customHeight="1" x14ac:dyDescent="0.2"/>
    <row r="48" ht="12.95" customHeight="1" x14ac:dyDescent="0.2"/>
    <row r="49" ht="12.95" customHeight="1" x14ac:dyDescent="0.2"/>
    <row r="50" ht="12.95" customHeight="1" x14ac:dyDescent="0.2"/>
    <row r="51" ht="12.95" customHeight="1" x14ac:dyDescent="0.2"/>
    <row r="52" ht="12.95" customHeight="1" x14ac:dyDescent="0.2"/>
    <row r="53" ht="12.95" customHeight="1" x14ac:dyDescent="0.2"/>
    <row r="54" ht="12.95" customHeight="1" x14ac:dyDescent="0.2"/>
    <row r="55" ht="12.95" customHeight="1" x14ac:dyDescent="0.2"/>
    <row r="56" ht="12.95" customHeight="1" x14ac:dyDescent="0.2"/>
    <row r="57" ht="12.95" customHeight="1" x14ac:dyDescent="0.2"/>
    <row r="58" ht="12.95" customHeight="1" x14ac:dyDescent="0.2"/>
    <row r="59" ht="12.95" customHeight="1" x14ac:dyDescent="0.2"/>
    <row r="60" ht="12.95" customHeight="1" x14ac:dyDescent="0.2"/>
    <row r="61" ht="12.95" customHeight="1" x14ac:dyDescent="0.2"/>
    <row r="62" ht="12.95" customHeight="1" x14ac:dyDescent="0.2"/>
    <row r="63" ht="12.95" customHeight="1" x14ac:dyDescent="0.2"/>
    <row r="64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</sheetData>
  <mergeCells count="5">
    <mergeCell ref="H28:M28"/>
    <mergeCell ref="H30:M30"/>
    <mergeCell ref="E1:G1"/>
    <mergeCell ref="J1:M1"/>
    <mergeCell ref="E2:G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d54ab00-c2aa-4b80-9380-2a5b65a09386" xsi:nil="true"/>
    <c698536624c24a2e8c0b5f82a56cd58e xmlns="8642a247-200d-4ce0-b1af-b22a9841de4d">
      <Terms xmlns="http://schemas.microsoft.com/office/infopath/2007/PartnerControls"/>
    </c698536624c24a2e8c0b5f82a56cd58e>
    <ndded4ce58474cad92d1b66c0c9b4212 xmlns="8642a247-200d-4ce0-b1af-b22a9841de4d">
      <Terms xmlns="http://schemas.microsoft.com/office/infopath/2007/PartnerControls"/>
    </ndded4ce58474cad92d1b66c0c9b4212>
    <fa4c4e1cce6b41b49ff40e68b4fa4015 xmlns="8642a247-200d-4ce0-b1af-b22a9841de4d">
      <Terms xmlns="http://schemas.microsoft.com/office/infopath/2007/PartnerControls"/>
    </fa4c4e1cce6b41b49ff40e68b4fa4015>
    <k03a043d579d4d61b9dbae914102f656 xmlns="8642a247-200d-4ce0-b1af-b22a9841de4d">
      <Terms xmlns="http://schemas.microsoft.com/office/infopath/2007/PartnerControls"/>
    </k03a043d579d4d61b9dbae914102f656>
    <i2ca36216b0c4079b4869a4d9978d883 xmlns="8642a247-200d-4ce0-b1af-b22a9841de4d">
      <Terms xmlns="http://schemas.microsoft.com/office/infopath/2007/PartnerControls"/>
    </i2ca36216b0c4079b4869a4d9978d883>
    <d087e78dc7a148cf832e28635cf6ff32 xmlns="8642a247-200d-4ce0-b1af-b22a9841de4d">
      <Terms xmlns="http://schemas.microsoft.com/office/infopath/2007/PartnerControls"/>
    </d087e78dc7a148cf832e28635cf6ff32>
    <mf60064842124f91a07f9151eb6df90d xmlns="8642a247-200d-4ce0-b1af-b22a9841de4d">
      <Terms xmlns="http://schemas.microsoft.com/office/infopath/2007/PartnerControls"/>
    </mf60064842124f91a07f9151eb6df90d>
    <EndDate xmlns="8642a247-200d-4ce0-b1af-b22a9841de4d" xsi:nil="true"/>
    <StartDate xmlns="8642a247-200d-4ce0-b1af-b22a9841de4d" xsi:nil="true"/>
    <k4e5e7da114c40548996c649be380ed8 xmlns="8642a247-200d-4ce0-b1af-b22a9841de4d">
      <Terms xmlns="http://schemas.microsoft.com/office/infopath/2007/PartnerControls"/>
    </k4e5e7da114c40548996c649be380ed8>
    <o0b56adc64b2490080eb7a6ceb7ade33 xmlns="8642a247-200d-4ce0-b1af-b22a9841de4d">
      <Terms xmlns="http://schemas.microsoft.com/office/infopath/2007/PartnerControls"/>
    </o0b56adc64b2490080eb7a6ceb7ade33>
    <lcf76f155ced4ddcb4097134ff3c332f xmlns="8642a247-200d-4ce0-b1af-b22a9841de4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2325753DDC8B428A2A38A6A3D833D9" ma:contentTypeVersion="32" ma:contentTypeDescription="Create a new document." ma:contentTypeScope="" ma:versionID="cc6fcf52c94196b693f1fc7d246eca44">
  <xsd:schema xmlns:xsd="http://www.w3.org/2001/XMLSchema" xmlns:xs="http://www.w3.org/2001/XMLSchema" xmlns:p="http://schemas.microsoft.com/office/2006/metadata/properties" xmlns:ns2="8642a247-200d-4ce0-b1af-b22a9841de4d" xmlns:ns3="2d54ab00-c2aa-4b80-9380-2a5b65a09386" targetNamespace="http://schemas.microsoft.com/office/2006/metadata/properties" ma:root="true" ma:fieldsID="26972df1d6d7583aa60a40a8195880d4" ns2:_="" ns3:_="">
    <xsd:import namespace="8642a247-200d-4ce0-b1af-b22a9841de4d"/>
    <xsd:import namespace="2d54ab00-c2aa-4b80-9380-2a5b65a09386"/>
    <xsd:element name="properties">
      <xsd:complexType>
        <xsd:sequence>
          <xsd:element name="documentManagement">
            <xsd:complexType>
              <xsd:all>
                <xsd:element ref="ns2:c698536624c24a2e8c0b5f82a56cd58e" minOccurs="0"/>
                <xsd:element ref="ns3:TaxCatchAll" minOccurs="0"/>
                <xsd:element ref="ns2:d087e78dc7a148cf832e28635cf6ff32" minOccurs="0"/>
                <xsd:element ref="ns2:ndded4ce58474cad92d1b66c0c9b4212" minOccurs="0"/>
                <xsd:element ref="ns2:o0b56adc64b2490080eb7a6ceb7ade33" minOccurs="0"/>
                <xsd:element ref="ns2:mf60064842124f91a07f9151eb6df90d" minOccurs="0"/>
                <xsd:element ref="ns2:i2ca36216b0c4079b4869a4d9978d883" minOccurs="0"/>
                <xsd:element ref="ns2:fa4c4e1cce6b41b49ff40e68b4fa4015" minOccurs="0"/>
                <xsd:element ref="ns2:k03a043d579d4d61b9dbae914102f656" minOccurs="0"/>
                <xsd:element ref="ns2:k4e5e7da114c40548996c649be380ed8" minOccurs="0"/>
                <xsd:element ref="ns2:StartDate" minOccurs="0"/>
                <xsd:element ref="ns2:EndDate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2a247-200d-4ce0-b1af-b22a9841de4d" elementFormDefault="qualified">
    <xsd:import namespace="http://schemas.microsoft.com/office/2006/documentManagement/types"/>
    <xsd:import namespace="http://schemas.microsoft.com/office/infopath/2007/PartnerControls"/>
    <xsd:element name="c698536624c24a2e8c0b5f82a56cd58e" ma:index="9" nillable="true" ma:taxonomy="true" ma:internalName="c698536624c24a2e8c0b5f82a56cd58e" ma:taxonomyFieldName="Donor" ma:displayName="Donor" ma:default="" ma:fieldId="{c6985366-24c2-4a2e-8c0b-5f82a56cd58e}" ma:sspId="70b28423-b84b-471a-ab13-e74d0e05529a" ma:termSetId="497a6d2c-9603-4b65-9418-d57fc3c9127c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d087e78dc7a148cf832e28635cf6ff32" ma:index="12" nillable="true" ma:taxonomy="true" ma:internalName="d087e78dc7a148cf832e28635cf6ff32" ma:taxonomyFieldName="Location" ma:displayName="Location" ma:default="" ma:fieldId="{d087e78d-c7a1-48cf-832e-28635cf6ff32}" ma:taxonomyMulti="true" ma:sspId="70b28423-b84b-471a-ab13-e74d0e05529a" ma:termSetId="ff618795-640c-4538-bdc0-f7c486694e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dded4ce58474cad92d1b66c0c9b4212" ma:index="14" nillable="true" ma:taxonomy="true" ma:internalName="ndded4ce58474cad92d1b66c0c9b4212" ma:taxonomyFieldName="Partners" ma:displayName="Partners" ma:default="" ma:fieldId="{7dded4ce-5847-4cad-92d1-b66c0c9b4212}" ma:sspId="70b28423-b84b-471a-ab13-e74d0e05529a" ma:termSetId="6d6e4414-998d-4e4d-b260-0f4ea9550b3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o0b56adc64b2490080eb7a6ceb7ade33" ma:index="16" nillable="true" ma:taxonomy="true" ma:internalName="o0b56adc64b2490080eb7a6ceb7ade33" ma:taxonomyFieldName="Programmes" ma:displayName="Programmes" ma:default="" ma:fieldId="{80b56adc-64b2-4900-80eb-7a6ceb7ade33}" ma:sspId="70b28423-b84b-471a-ab13-e74d0e05529a" ma:termSetId="a18bc8e8-cdc0-464f-b5cb-0574a50d2b5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60064842124f91a07f9151eb6df90d" ma:index="18" nillable="true" ma:taxonomy="true" ma:internalName="mf60064842124f91a07f9151eb6df90d" ma:taxonomyFieldName="Donor_x0020_Contract_x0020_Code" ma:displayName="Donor Contract Code" ma:default="" ma:fieldId="{6f600648-4212-4f91-a07f-9151eb6df90d}" ma:sspId="70b28423-b84b-471a-ab13-e74d0e05529a" ma:termSetId="a378971e-5013-4814-9c60-ee5a95522406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2ca36216b0c4079b4869a4d9978d883" ma:index="20" nillable="true" ma:taxonomy="true" ma:internalName="i2ca36216b0c4079b4869a4d9978d883" ma:taxonomyFieldName="Document_x0020_Type" ma:displayName="Document Type" ma:default="" ma:fieldId="{22ca3621-6b0c-4079-b486-9a4d9978d883}" ma:sspId="70b28423-b84b-471a-ab13-e74d0e05529a" ma:termSetId="fb2fe249-4899-4ee9-827c-dcd1dfd04da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a4c4e1cce6b41b49ff40e68b4fa4015" ma:index="22" nillable="true" ma:taxonomy="true" ma:internalName="fa4c4e1cce6b41b49ff40e68b4fa4015" ma:taxonomyFieldName="Project_x0020_Status" ma:displayName="Project Status" ma:default="" ma:fieldId="{fa4c4e1c-ce6b-41b4-9ff4-0e68b4fa4015}" ma:sspId="70b28423-b84b-471a-ab13-e74d0e05529a" ma:termSetId="28146d91-4ee5-4765-b3bc-06b9de5189c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03a043d579d4d61b9dbae914102f656" ma:index="24" nillable="true" ma:taxonomy="true" ma:internalName="k03a043d579d4d61b9dbae914102f656" ma:taxonomyFieldName="Tdh_x0020_Contract_x0020_Code" ma:displayName="Tdh Contract Code" ma:default="" ma:fieldId="{403a043d-579d-4d61-b9db-ae914102f656}" ma:sspId="70b28423-b84b-471a-ab13-e74d0e05529a" ma:termSetId="7145bce3-8e8e-42f5-b91c-18fa91b8f8ec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k4e5e7da114c40548996c649be380ed8" ma:index="26" nillable="true" ma:taxonomy="true" ma:internalName="k4e5e7da114c40548996c649be380ed8" ma:taxonomyFieldName="Tdh_x0020_Project_x0020_Code" ma:displayName="Tdh Project Code" ma:default="" ma:fieldId="{44e5e7da-114c-4054-8996-c649be380ed8}" ma:sspId="70b28423-b84b-471a-ab13-e74d0e05529a" ma:termSetId="66c7a765-1888-4a3a-b93a-35713f1eaced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tartDate" ma:index="27" nillable="true" ma:displayName="Start Date" ma:format="DateOnly" ma:internalName="StartDate">
      <xsd:simpleType>
        <xsd:restriction base="dms:DateTime"/>
      </xsd:simpleType>
    </xsd:element>
    <xsd:element name="EndDate" ma:index="28" nillable="true" ma:displayName="End Date" ma:format="DateOnly" ma:internalName="EndDate">
      <xsd:simpleType>
        <xsd:restriction base="dms:DateTime"/>
      </xsd:simpleType>
    </xsd:element>
    <xsd:element name="MediaServiceMetadata" ma:index="2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3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3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4" nillable="true" ma:taxonomy="true" ma:internalName="lcf76f155ced4ddcb4097134ff3c332f" ma:taxonomyFieldName="MediaServiceImageTags" ma:displayName="Image Tags" ma:readOnly="false" ma:fieldId="{5cf76f15-5ced-4ddc-b409-7134ff3c332f}" ma:taxonomyMulti="true" ma:sspId="70b28423-b84b-471a-ab13-e74d0e0552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4ab00-c2aa-4b80-9380-2a5b65a09386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efc96476-ef24-45aa-824c-45a3d19b6c57}" ma:internalName="TaxCatchAll" ma:showField="CatchAllData" ma:web="2d54ab00-c2aa-4b80-9380-2a5b65a093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AC5B70-5848-4E88-999D-31AE64170BCB}">
  <ds:schemaRefs>
    <ds:schemaRef ds:uri="http://schemas.microsoft.com/office/2006/metadata/properties"/>
    <ds:schemaRef ds:uri="http://schemas.microsoft.com/office/infopath/2007/PartnerControls"/>
    <ds:schemaRef ds:uri="2d54ab00-c2aa-4b80-9380-2a5b65a09386"/>
    <ds:schemaRef ds:uri="8642a247-200d-4ce0-b1af-b22a9841de4d"/>
  </ds:schemaRefs>
</ds:datastoreItem>
</file>

<file path=customXml/itemProps2.xml><?xml version="1.0" encoding="utf-8"?>
<ds:datastoreItem xmlns:ds="http://schemas.openxmlformats.org/officeDocument/2006/customXml" ds:itemID="{0400D475-7E62-4664-AD36-A64B1A681C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2a247-200d-4ce0-b1af-b22a9841de4d"/>
    <ds:schemaRef ds:uri="2d54ab00-c2aa-4b80-9380-2a5b65a093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0C18B0-6805-4CB2-A48D-2FA0576E1E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11</vt:i4>
      </vt:variant>
      <vt:variant>
        <vt:lpstr>Nimega vahemikud</vt:lpstr>
      </vt:variant>
      <vt:variant>
        <vt:i4>2</vt:i4>
      </vt:variant>
    </vt:vector>
  </HeadingPairs>
  <TitlesOfParts>
    <vt:vector size="13" baseType="lpstr">
      <vt:lpstr>EA005-RMP</vt:lpstr>
      <vt:lpstr>Koond</vt:lpstr>
      <vt:lpstr>MT01-MT08 kokku</vt:lpstr>
      <vt:lpstr>R8_Nov-Dec24</vt:lpstr>
      <vt:lpstr>R7_Jul-Oct24</vt:lpstr>
      <vt:lpstr>R6_Jan-Jun24</vt:lpstr>
      <vt:lpstr>R5_Oct-Dec23</vt:lpstr>
      <vt:lpstr>R4_Jul-Sept23</vt:lpstr>
      <vt:lpstr>R3_Apr-Jun23</vt:lpstr>
      <vt:lpstr>R2_Jan-Mar23</vt:lpstr>
      <vt:lpstr>R1_Oct-Dec22</vt:lpstr>
      <vt:lpstr>'R1_Oct-Dec22'!Prindiala</vt:lpstr>
      <vt:lpstr>'R1_Oct-Dec22'!Prinditiitlid</vt:lpstr>
    </vt:vector>
  </TitlesOfParts>
  <Manager/>
  <Company>tdh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ebo 682</dc:creator>
  <cp:keywords/>
  <dc:description/>
  <cp:lastModifiedBy>Marilin Ojang</cp:lastModifiedBy>
  <cp:revision/>
  <dcterms:created xsi:type="dcterms:W3CDTF">2001-12-13T10:15:34Z</dcterms:created>
  <dcterms:modified xsi:type="dcterms:W3CDTF">2025-07-12T09:10:29Z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0x010100942325753DDC8B428A2A38A6A3D833D9</vt:lpwstr>
  </property>
  <property fmtid="{D5CDD505-2E9C-101B-9397-08002B2CF9AE}" pid="3" name="Donor">
    <vt:lpwstr/>
  </property>
  <property fmtid="{D5CDD505-2E9C-101B-9397-08002B2CF9AE}" pid="4" name="Order">
    <vt:r8>15290900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_ExtendedDescription">
    <vt:lpwstr/>
  </property>
  <property fmtid="{D5CDD505-2E9C-101B-9397-08002B2CF9AE}" pid="13" name="Tdh Project Code">
    <vt:lpwstr/>
  </property>
  <property fmtid="{D5CDD505-2E9C-101B-9397-08002B2CF9AE}" pid="14" name="Location">
    <vt:lpwstr/>
  </property>
  <property fmtid="{D5CDD505-2E9C-101B-9397-08002B2CF9AE}" pid="15" name="Document Type">
    <vt:lpwstr/>
  </property>
  <property fmtid="{D5CDD505-2E9C-101B-9397-08002B2CF9AE}" pid="16" name="Tdh Contract Code">
    <vt:lpwstr/>
  </property>
  <property fmtid="{D5CDD505-2E9C-101B-9397-08002B2CF9AE}" pid="17" name="Programmes">
    <vt:lpwstr/>
  </property>
  <property fmtid="{D5CDD505-2E9C-101B-9397-08002B2CF9AE}" pid="18" name="Project Status">
    <vt:lpwstr/>
  </property>
  <property fmtid="{D5CDD505-2E9C-101B-9397-08002B2CF9AE}" pid="19" name="Donor Contract Code">
    <vt:lpwstr/>
  </property>
  <property fmtid="{D5CDD505-2E9C-101B-9397-08002B2CF9AE}" pid="20" name="Partners">
    <vt:lpwstr/>
  </property>
  <property fmtid="{D5CDD505-2E9C-101B-9397-08002B2CF9AE}" pid="21" name="MediaServiceImageTags">
    <vt:lpwstr/>
  </property>
  <property fmtid="{D5CDD505-2E9C-101B-9397-08002B2CF9AE}" pid="22" name="_AdHocReviewCycleID">
    <vt:i4>-1111240546</vt:i4>
  </property>
  <property fmtid="{D5CDD505-2E9C-101B-9397-08002B2CF9AE}" pid="23" name="_NewReviewCycle">
    <vt:lpwstr/>
  </property>
  <property fmtid="{D5CDD505-2E9C-101B-9397-08002B2CF9AE}" pid="24" name="_EmailSubject">
    <vt:lpwstr>iRestore - final financial aspects</vt:lpwstr>
  </property>
  <property fmtid="{D5CDD505-2E9C-101B-9397-08002B2CF9AE}" pid="25" name="_AuthorEmail">
    <vt:lpwstr>Marilin.Ojang@sotsiaalkindlustusamet.ee</vt:lpwstr>
  </property>
  <property fmtid="{D5CDD505-2E9C-101B-9397-08002B2CF9AE}" pid="26" name="_AuthorEmailDisplayName">
    <vt:lpwstr>Marilin Ojang</vt:lpwstr>
  </property>
  <property fmtid="{D5CDD505-2E9C-101B-9397-08002B2CF9AE}" pid="27" name="_PreviousAdHocReviewCycleID">
    <vt:i4>1307954157</vt:i4>
  </property>
</Properties>
</file>